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REBALANS 1 RASHODI" sheetId="17" r:id="rId1"/>
    <sheet name="REBALANS 1 RASHODI PLAHTA " sheetId="16" r:id="rId2"/>
    <sheet name="REBALANS 1 PRIHODI" sheetId="5" r:id="rId3"/>
  </sheets>
  <definedNames>
    <definedName name="_xlnm.Print_Titles" localSheetId="0">'REBALANS 1 RASHODI'!$2:$3</definedName>
    <definedName name="_xlnm.Print_Titles" localSheetId="1">'REBALANS 1 RASHODI PLAHTA '!$1:$3</definedName>
    <definedName name="_xlnm.Print_Area" localSheetId="1">'REBALANS 1 RASHODI PLAHTA '!$A$1:$L$240</definedName>
  </definedNames>
  <calcPr calcId="124519"/>
</workbook>
</file>

<file path=xl/calcChain.xml><?xml version="1.0" encoding="utf-8"?>
<calcChain xmlns="http://schemas.openxmlformats.org/spreadsheetml/2006/main">
  <c r="H82" i="17"/>
  <c r="H61"/>
  <c r="H53"/>
  <c r="H55"/>
  <c r="H52"/>
  <c r="H50"/>
  <c r="H42"/>
  <c r="H43"/>
  <c r="H44"/>
  <c r="H45"/>
  <c r="H47"/>
  <c r="H41"/>
  <c r="H39"/>
  <c r="H31"/>
  <c r="H32"/>
  <c r="H34"/>
  <c r="H37"/>
  <c r="H29"/>
  <c r="H23"/>
  <c r="H24"/>
  <c r="H25"/>
  <c r="H27"/>
  <c r="H22"/>
  <c r="H20"/>
  <c r="H19"/>
  <c r="H18"/>
  <c r="H17"/>
  <c r="H13"/>
  <c r="H11"/>
  <c r="H8"/>
  <c r="H9"/>
  <c r="K49"/>
  <c r="K51"/>
  <c r="K48" s="1"/>
  <c r="K56"/>
  <c r="K60"/>
  <c r="K59" s="1"/>
  <c r="K64"/>
  <c r="K63" s="1"/>
  <c r="K72"/>
  <c r="K77"/>
  <c r="K76" s="1"/>
  <c r="K81"/>
  <c r="K80" s="1"/>
  <c r="K79" s="1"/>
  <c r="I49"/>
  <c r="J49"/>
  <c r="I51"/>
  <c r="I48" s="1"/>
  <c r="I56"/>
  <c r="J56"/>
  <c r="I60"/>
  <c r="I59" s="1"/>
  <c r="J60"/>
  <c r="J59" s="1"/>
  <c r="I64"/>
  <c r="J64"/>
  <c r="I72"/>
  <c r="J72"/>
  <c r="J63" s="1"/>
  <c r="I77"/>
  <c r="I76" s="1"/>
  <c r="J77"/>
  <c r="J76" s="1"/>
  <c r="I81"/>
  <c r="I80" s="1"/>
  <c r="I79" s="1"/>
  <c r="J81"/>
  <c r="K40"/>
  <c r="K38"/>
  <c r="J38"/>
  <c r="I38"/>
  <c r="K28"/>
  <c r="K21"/>
  <c r="I19"/>
  <c r="I18"/>
  <c r="I17"/>
  <c r="K16"/>
  <c r="I13"/>
  <c r="I12" s="1"/>
  <c r="K12"/>
  <c r="I11"/>
  <c r="K10"/>
  <c r="I10"/>
  <c r="I9"/>
  <c r="J7"/>
  <c r="I7"/>
  <c r="I6" s="1"/>
  <c r="K6"/>
  <c r="K5" s="1"/>
  <c r="F81"/>
  <c r="F80" s="1"/>
  <c r="F79" s="1"/>
  <c r="G81"/>
  <c r="G80" s="1"/>
  <c r="E81"/>
  <c r="E80" s="1"/>
  <c r="E79" s="1"/>
  <c r="D81"/>
  <c r="D80" s="1"/>
  <c r="D79" s="1"/>
  <c r="A78"/>
  <c r="G77"/>
  <c r="G76" s="1"/>
  <c r="F77"/>
  <c r="F76" s="1"/>
  <c r="E77"/>
  <c r="E76" s="1"/>
  <c r="D77"/>
  <c r="D76" s="1"/>
  <c r="A77"/>
  <c r="A76"/>
  <c r="A75"/>
  <c r="A74"/>
  <c r="E73"/>
  <c r="F72" s="1"/>
  <c r="A73"/>
  <c r="G72"/>
  <c r="D72"/>
  <c r="A72"/>
  <c r="E71"/>
  <c r="F71" s="1"/>
  <c r="A71"/>
  <c r="A70"/>
  <c r="A69"/>
  <c r="E68"/>
  <c r="F68" s="1"/>
  <c r="A68"/>
  <c r="E67"/>
  <c r="F67" s="1"/>
  <c r="A67"/>
  <c r="E66"/>
  <c r="F66" s="1"/>
  <c r="A66"/>
  <c r="E65"/>
  <c r="F65" s="1"/>
  <c r="A65"/>
  <c r="G64"/>
  <c r="D64"/>
  <c r="A64"/>
  <c r="A63"/>
  <c r="A62"/>
  <c r="F61"/>
  <c r="F60" s="1"/>
  <c r="F59" s="1"/>
  <c r="A61"/>
  <c r="G60"/>
  <c r="H60" s="1"/>
  <c r="E60"/>
  <c r="D60"/>
  <c r="D59" s="1"/>
  <c r="A60"/>
  <c r="G59"/>
  <c r="H59" s="1"/>
  <c r="E59"/>
  <c r="A59"/>
  <c r="A58"/>
  <c r="A57"/>
  <c r="G56"/>
  <c r="F56"/>
  <c r="E56"/>
  <c r="D56"/>
  <c r="F55"/>
  <c r="F54"/>
  <c r="A54"/>
  <c r="F53"/>
  <c r="F51" s="1"/>
  <c r="A53"/>
  <c r="F52"/>
  <c r="A52"/>
  <c r="G51"/>
  <c r="G48" s="1"/>
  <c r="E51"/>
  <c r="D51"/>
  <c r="A51"/>
  <c r="F50"/>
  <c r="F49" s="1"/>
  <c r="G49"/>
  <c r="H49" s="1"/>
  <c r="E49"/>
  <c r="D49"/>
  <c r="D48"/>
  <c r="A48"/>
  <c r="F47"/>
  <c r="A47"/>
  <c r="F46"/>
  <c r="A46"/>
  <c r="F45"/>
  <c r="I40" s="1"/>
  <c r="A45"/>
  <c r="F44"/>
  <c r="A44"/>
  <c r="F43"/>
  <c r="A43"/>
  <c r="F42"/>
  <c r="A42"/>
  <c r="F41"/>
  <c r="A41"/>
  <c r="G40"/>
  <c r="H40" s="1"/>
  <c r="E40"/>
  <c r="D40"/>
  <c r="A40"/>
  <c r="F39"/>
  <c r="F38" s="1"/>
  <c r="A39"/>
  <c r="G38"/>
  <c r="H38" s="1"/>
  <c r="E38"/>
  <c r="D38"/>
  <c r="A38"/>
  <c r="F37"/>
  <c r="A37"/>
  <c r="E36"/>
  <c r="F36" s="1"/>
  <c r="A36"/>
  <c r="E35"/>
  <c r="F35" s="1"/>
  <c r="A35"/>
  <c r="F34"/>
  <c r="A34"/>
  <c r="E33"/>
  <c r="H33" s="1"/>
  <c r="A33"/>
  <c r="F32"/>
  <c r="A32"/>
  <c r="F31"/>
  <c r="A31"/>
  <c r="E30"/>
  <c r="H30" s="1"/>
  <c r="A30"/>
  <c r="F29"/>
  <c r="A29"/>
  <c r="G28"/>
  <c r="D28"/>
  <c r="A28"/>
  <c r="F27"/>
  <c r="A27"/>
  <c r="E26"/>
  <c r="H26" s="1"/>
  <c r="A26"/>
  <c r="F25"/>
  <c r="A25"/>
  <c r="F24"/>
  <c r="A24"/>
  <c r="F23"/>
  <c r="A23"/>
  <c r="F22"/>
  <c r="A22"/>
  <c r="G21"/>
  <c r="D21"/>
  <c r="A21"/>
  <c r="F20"/>
  <c r="A20"/>
  <c r="F19"/>
  <c r="A19"/>
  <c r="F18"/>
  <c r="A18"/>
  <c r="F17"/>
  <c r="A17"/>
  <c r="G16"/>
  <c r="H16" s="1"/>
  <c r="E16"/>
  <c r="D16"/>
  <c r="A16"/>
  <c r="A15"/>
  <c r="F14"/>
  <c r="F13"/>
  <c r="J12" s="1"/>
  <c r="A13"/>
  <c r="G12"/>
  <c r="E12"/>
  <c r="D12"/>
  <c r="A12"/>
  <c r="F11"/>
  <c r="J10" s="1"/>
  <c r="A11"/>
  <c r="G10"/>
  <c r="H10" s="1"/>
  <c r="F10"/>
  <c r="E10"/>
  <c r="D10"/>
  <c r="A10"/>
  <c r="F9"/>
  <c r="A9"/>
  <c r="F8"/>
  <c r="A8"/>
  <c r="F7"/>
  <c r="E7"/>
  <c r="H7" s="1"/>
  <c r="A7"/>
  <c r="G6"/>
  <c r="H6" s="1"/>
  <c r="E6"/>
  <c r="E5" s="1"/>
  <c r="D6"/>
  <c r="A6"/>
  <c r="A5"/>
  <c r="A4"/>
  <c r="H21" l="1"/>
  <c r="G79"/>
  <c r="H79" s="1"/>
  <c r="H80"/>
  <c r="I5"/>
  <c r="G5"/>
  <c r="H5" s="1"/>
  <c r="H36"/>
  <c r="H67"/>
  <c r="E21"/>
  <c r="F26"/>
  <c r="F33"/>
  <c r="D58"/>
  <c r="D63"/>
  <c r="H51"/>
  <c r="H68"/>
  <c r="H73"/>
  <c r="I16"/>
  <c r="H12"/>
  <c r="H71"/>
  <c r="H81"/>
  <c r="H35"/>
  <c r="H65"/>
  <c r="H66"/>
  <c r="K58"/>
  <c r="D5"/>
  <c r="G63"/>
  <c r="J80"/>
  <c r="J79" s="1"/>
  <c r="E28"/>
  <c r="E15" s="1"/>
  <c r="K15"/>
  <c r="I63"/>
  <c r="I58" s="1"/>
  <c r="J51"/>
  <c r="J58"/>
  <c r="J6"/>
  <c r="J5" s="1"/>
  <c r="K4"/>
  <c r="F6"/>
  <c r="E48"/>
  <c r="H48" s="1"/>
  <c r="F12"/>
  <c r="F16"/>
  <c r="F21"/>
  <c r="F30"/>
  <c r="F28" s="1"/>
  <c r="F40"/>
  <c r="I28"/>
  <c r="G15"/>
  <c r="D15"/>
  <c r="D4" s="1"/>
  <c r="D83" s="1"/>
  <c r="J16"/>
  <c r="I21"/>
  <c r="F48"/>
  <c r="F64"/>
  <c r="F63" s="1"/>
  <c r="F58" s="1"/>
  <c r="E64"/>
  <c r="H64" s="1"/>
  <c r="E72"/>
  <c r="H72" s="1"/>
  <c r="G58" l="1"/>
  <c r="H58" s="1"/>
  <c r="H63"/>
  <c r="H28"/>
  <c r="G4"/>
  <c r="H15"/>
  <c r="F5"/>
  <c r="E4"/>
  <c r="K83"/>
  <c r="J40"/>
  <c r="J28"/>
  <c r="F15"/>
  <c r="J48"/>
  <c r="I15"/>
  <c r="I4" s="1"/>
  <c r="I83" s="1"/>
  <c r="J21"/>
  <c r="E63"/>
  <c r="E58" s="1"/>
  <c r="E83" l="1"/>
  <c r="F4"/>
  <c r="F83" s="1"/>
  <c r="G83"/>
  <c r="H4"/>
  <c r="J15"/>
  <c r="J4" s="1"/>
  <c r="J83" s="1"/>
  <c r="H83" l="1"/>
  <c r="M16" i="5"/>
  <c r="B16"/>
  <c r="C225" i="16"/>
  <c r="C221"/>
  <c r="C220" s="1"/>
  <c r="L220"/>
  <c r="K220"/>
  <c r="J220"/>
  <c r="I220"/>
  <c r="H220"/>
  <c r="G220"/>
  <c r="F220"/>
  <c r="E220"/>
  <c r="D220"/>
  <c r="C219"/>
  <c r="C217"/>
  <c r="C216" s="1"/>
  <c r="L216"/>
  <c r="K216"/>
  <c r="J216"/>
  <c r="I216"/>
  <c r="H216"/>
  <c r="G216"/>
  <c r="F216"/>
  <c r="E216"/>
  <c r="D216"/>
  <c r="C215"/>
  <c r="C214"/>
  <c r="G213"/>
  <c r="C213"/>
  <c r="C212"/>
  <c r="G211"/>
  <c r="C211" s="1"/>
  <c r="C210"/>
  <c r="G209"/>
  <c r="C209"/>
  <c r="C208"/>
  <c r="G207"/>
  <c r="C207" s="1"/>
  <c r="G206"/>
  <c r="C205"/>
  <c r="C204"/>
  <c r="L203"/>
  <c r="K203"/>
  <c r="J203"/>
  <c r="I203"/>
  <c r="H203"/>
  <c r="F203"/>
  <c r="E203"/>
  <c r="D203"/>
  <c r="C202"/>
  <c r="C201"/>
  <c r="C200"/>
  <c r="C199"/>
  <c r="C198"/>
  <c r="C197"/>
  <c r="E196"/>
  <c r="C196" s="1"/>
  <c r="C195"/>
  <c r="C194"/>
  <c r="C193"/>
  <c r="C192"/>
  <c r="C191"/>
  <c r="C190"/>
  <c r="L189"/>
  <c r="K189"/>
  <c r="J189"/>
  <c r="I189"/>
  <c r="H189"/>
  <c r="G189"/>
  <c r="F189"/>
  <c r="D189"/>
  <c r="D231" s="1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F162"/>
  <c r="C162" s="1"/>
  <c r="C161"/>
  <c r="C160"/>
  <c r="C159"/>
  <c r="C158"/>
  <c r="C157"/>
  <c r="F156"/>
  <c r="C156" s="1"/>
  <c r="C155"/>
  <c r="C154"/>
  <c r="C153"/>
  <c r="C152"/>
  <c r="C151"/>
  <c r="C150"/>
  <c r="C149"/>
  <c r="C148"/>
  <c r="C147"/>
  <c r="C146"/>
  <c r="C145"/>
  <c r="C144"/>
  <c r="C143"/>
  <c r="L142"/>
  <c r="L230" s="1"/>
  <c r="K142"/>
  <c r="K230" s="1"/>
  <c r="J142"/>
  <c r="J230" s="1"/>
  <c r="I142"/>
  <c r="I230" s="1"/>
  <c r="H142"/>
  <c r="H230" s="1"/>
  <c r="G142"/>
  <c r="G230" s="1"/>
  <c r="E142"/>
  <c r="E230" s="1"/>
  <c r="D142"/>
  <c r="D230" s="1"/>
  <c r="C84"/>
  <c r="C83"/>
  <c r="C82"/>
  <c r="C81"/>
  <c r="C80"/>
  <c r="C79"/>
  <c r="G78"/>
  <c r="C78" s="1"/>
  <c r="L77"/>
  <c r="K77"/>
  <c r="J77"/>
  <c r="I77"/>
  <c r="H77"/>
  <c r="G77"/>
  <c r="F77"/>
  <c r="E77"/>
  <c r="D77"/>
  <c r="C76"/>
  <c r="C75"/>
  <c r="C74"/>
  <c r="C73"/>
  <c r="C72"/>
  <c r="C71"/>
  <c r="C70"/>
  <c r="C69"/>
  <c r="C68"/>
  <c r="C67"/>
  <c r="G66"/>
  <c r="C66" s="1"/>
  <c r="G65"/>
  <c r="C65" s="1"/>
  <c r="C64"/>
  <c r="G63"/>
  <c r="C63" s="1"/>
  <c r="C62"/>
  <c r="C61"/>
  <c r="L60"/>
  <c r="J60"/>
  <c r="C59"/>
  <c r="C58"/>
  <c r="G57"/>
  <c r="C57" s="1"/>
  <c r="C56"/>
  <c r="C55"/>
  <c r="I54"/>
  <c r="G54" s="1"/>
  <c r="C54" s="1"/>
  <c r="C53"/>
  <c r="C52"/>
  <c r="G51"/>
  <c r="C51" s="1"/>
  <c r="G50"/>
  <c r="C50" s="1"/>
  <c r="G49"/>
  <c r="C49" s="1"/>
  <c r="G48"/>
  <c r="C48" s="1"/>
  <c r="G47"/>
  <c r="C47" s="1"/>
  <c r="C46"/>
  <c r="G45"/>
  <c r="C45" s="1"/>
  <c r="G44"/>
  <c r="C44" s="1"/>
  <c r="C43"/>
  <c r="C42"/>
  <c r="G41"/>
  <c r="C41" s="1"/>
  <c r="K40"/>
  <c r="J40"/>
  <c r="H40"/>
  <c r="H229" s="1"/>
  <c r="F40"/>
  <c r="E40"/>
  <c r="E229" s="1"/>
  <c r="D40"/>
  <c r="G60" l="1"/>
  <c r="C60" s="1"/>
  <c r="C189"/>
  <c r="D229"/>
  <c r="J224"/>
  <c r="J226" s="1"/>
  <c r="C77"/>
  <c r="H231"/>
  <c r="H232" s="1"/>
  <c r="L40"/>
  <c r="L229" s="1"/>
  <c r="K231"/>
  <c r="G203"/>
  <c r="G231" s="1"/>
  <c r="L231"/>
  <c r="L232" s="1"/>
  <c r="I231"/>
  <c r="K229"/>
  <c r="K232" s="1"/>
  <c r="C142"/>
  <c r="F231"/>
  <c r="J231"/>
  <c r="D232"/>
  <c r="C40"/>
  <c r="F224"/>
  <c r="F226" s="1"/>
  <c r="I40"/>
  <c r="F142"/>
  <c r="F230" s="1"/>
  <c r="C230" s="1"/>
  <c r="E189"/>
  <c r="E231" s="1"/>
  <c r="E232" s="1"/>
  <c r="C206"/>
  <c r="C203" s="1"/>
  <c r="F229"/>
  <c r="F232" s="1"/>
  <c r="J229"/>
  <c r="D224"/>
  <c r="H224"/>
  <c r="H226" s="1"/>
  <c r="L224"/>
  <c r="L226" s="1"/>
  <c r="G40"/>
  <c r="K224"/>
  <c r="K226" s="1"/>
  <c r="J232" l="1"/>
  <c r="E224"/>
  <c r="E226" s="1"/>
  <c r="C224"/>
  <c r="C226" s="1"/>
  <c r="G229"/>
  <c r="G232" s="1"/>
  <c r="G224"/>
  <c r="G226" s="1"/>
  <c r="G227" s="1"/>
  <c r="I229"/>
  <c r="I232" s="1"/>
  <c r="I224"/>
  <c r="I226" s="1"/>
  <c r="C231"/>
  <c r="C232" l="1"/>
  <c r="C229"/>
  <c r="D11" i="5" l="1"/>
  <c r="L15" l="1"/>
  <c r="D16"/>
  <c r="E16"/>
  <c r="F16"/>
  <c r="G16"/>
  <c r="H16"/>
  <c r="I16"/>
  <c r="J16"/>
  <c r="K16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16" l="1"/>
</calcChain>
</file>

<file path=xl/sharedStrings.xml><?xml version="1.0" encoding="utf-8"?>
<sst xmlns="http://schemas.openxmlformats.org/spreadsheetml/2006/main" count="458" uniqueCount="269">
  <si>
    <t>Naziv</t>
  </si>
  <si>
    <t>Plaće za redovan rad</t>
  </si>
  <si>
    <t>Ostali rashodi za zaposlene</t>
  </si>
  <si>
    <t>Doprinosi za obvezno zdravstveno osiguranje</t>
  </si>
  <si>
    <t>Službena putovanja</t>
  </si>
  <si>
    <t>Stručno usavršavanje zaposlenika</t>
  </si>
  <si>
    <t>Ostale naknade troškova zaposlenima</t>
  </si>
  <si>
    <t>Materijal i sirovine</t>
  </si>
  <si>
    <t>Energija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</si>
  <si>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</si>
  <si>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</si>
  <si>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</si>
  <si>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</si>
  <si>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</si>
  <si>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</si>
  <si>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</si>
  <si>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</si>
  <si>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</si>
  <si>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</si>
  <si>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Reprezentacija</t>
  </si>
  <si>
    <t>Pristojbe i naknade</t>
  </si>
  <si>
    <t>Ostali nespomenuti rashodi poslovanja</t>
  </si>
  <si>
    <t>Ostali nespomenuti financijski rashodi</t>
  </si>
  <si>
    <t>Plaće za prekovremeni rad</t>
  </si>
  <si>
    <t>Plaće za posebne uvjete rada</t>
  </si>
  <si>
    <t>Naknade troškova osobama izvan radnog odnosa</t>
  </si>
  <si>
    <t>Premije osiguranja</t>
  </si>
  <si>
    <t>Troškovi sudskih postupaka</t>
  </si>
  <si>
    <t>Zatezne kamate</t>
  </si>
  <si>
    <t>Ostali financijski rashodi</t>
  </si>
  <si>
    <t>Naknada šteta pravnim i fizičkim osobama</t>
  </si>
  <si>
    <t>Licence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</si>
  <si>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</si>
  <si>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</si>
  <si>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</si>
  <si>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</si>
  <si>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</si>
  <si>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</si>
  <si>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</si>
  <si>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</si>
  <si>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UKUPNO</t>
  </si>
  <si>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</si>
  <si>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</si>
  <si>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</si>
  <si>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</si>
  <si>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Opći prihodi i primici - DEC - 30</t>
  </si>
  <si>
    <t>Vlastiti prihodi - 20</t>
  </si>
  <si>
    <t>Prihodi za posebne namjene - 10</t>
  </si>
  <si>
    <t>Pomoći - 40</t>
  </si>
  <si>
    <t>Donacije - 50</t>
  </si>
  <si>
    <t>Prihodi od prodaje nefinancijske imovine i nadoknade šteta s osnova osiguranja - 60</t>
  </si>
  <si>
    <t>Namjenski primici od zaduživanja - 70</t>
  </si>
  <si>
    <t>Prenesena sredstva iz prethodne godine - 80</t>
  </si>
  <si>
    <t>len</t>
  </si>
  <si>
    <t>3</t>
  </si>
  <si>
    <t>Rashodi poslovanja</t>
  </si>
  <si>
    <t>31</t>
  </si>
  <si>
    <t>Rashodi za zaposlene</t>
  </si>
  <si>
    <t>311</t>
  </si>
  <si>
    <t>Plaće (Bruto)</t>
  </si>
  <si>
    <t>3111</t>
  </si>
  <si>
    <t>3113</t>
  </si>
  <si>
    <t>3114</t>
  </si>
  <si>
    <t>3121</t>
  </si>
  <si>
    <t>Doprinosi na plaće</t>
  </si>
  <si>
    <t>3132</t>
  </si>
  <si>
    <t>32</t>
  </si>
  <si>
    <t>Materijalni rashodi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</si>
  <si>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</si>
  <si>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</si>
  <si>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</si>
  <si>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</si>
  <si>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</si>
  <si>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</si>
  <si>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</si>
  <si>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</si>
  <si>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</si>
  <si>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</si>
  <si>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</si>
  <si>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</si>
  <si>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</si>
  <si>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</si>
  <si>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</si>
  <si>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</si>
  <si>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</si>
  <si>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</si>
  <si>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</si>
  <si>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</si>
  <si>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</si>
  <si>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</si>
  <si>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</si>
  <si>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</si>
  <si>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</si>
  <si>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</si>
  <si>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3241</t>
  </si>
  <si>
    <t>329</t>
  </si>
  <si>
    <t>3291</t>
  </si>
  <si>
    <t>Naknade za rad predst.i izvrš. tijela, povjer. i slično</t>
  </si>
  <si>
    <t>3292</t>
  </si>
  <si>
    <t>3293</t>
  </si>
  <si>
    <t>3294</t>
  </si>
  <si>
    <t>Članarine i norme</t>
  </si>
  <si>
    <t>3295</t>
  </si>
  <si>
    <t>3296</t>
  </si>
  <si>
    <t>3299</t>
  </si>
  <si>
    <t>34</t>
  </si>
  <si>
    <t>Financijski rashodi</t>
  </si>
  <si>
    <t>Kamate za primlj. Kredite</t>
  </si>
  <si>
    <t>Kam. Za primlj kred. Od krd. Inst.</t>
  </si>
  <si>
    <t>343</t>
  </si>
  <si>
    <t>3431</t>
  </si>
  <si>
    <t>3432</t>
  </si>
  <si>
    <t>3433</t>
  </si>
  <si>
    <t>3434</t>
  </si>
  <si>
    <t xml:space="preserve">Ostali rashodi  </t>
  </si>
  <si>
    <t>4</t>
  </si>
  <si>
    <t>Rashodi za nabavu nefinancijske imovine</t>
  </si>
  <si>
    <t>41</t>
  </si>
  <si>
    <t>412</t>
  </si>
  <si>
    <t>Nematerijalna imovina</t>
  </si>
  <si>
    <t>4123</t>
  </si>
  <si>
    <t>4124</t>
  </si>
  <si>
    <t>Ostala prava</t>
  </si>
  <si>
    <t>42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</si>
  <si>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</si>
  <si>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</si>
  <si>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</si>
  <si>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</si>
  <si>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</si>
  <si>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</si>
  <si>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</si>
  <si>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</si>
  <si>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Sportska i glazbena oprema</t>
  </si>
  <si>
    <t>4227</t>
  </si>
  <si>
    <t>426</t>
  </si>
  <si>
    <t>Nematerijalna proizvedena imovina</t>
  </si>
  <si>
    <t>4262</t>
  </si>
  <si>
    <t>Ulaganja u računalne programe</t>
  </si>
  <si>
    <t>4263</t>
  </si>
  <si>
    <t>4264</t>
  </si>
  <si>
    <t>45</t>
  </si>
  <si>
    <t>451</t>
  </si>
  <si>
    <t>Dodatna ulaganja na građevinskim objektima</t>
  </si>
  <si>
    <t>4511</t>
  </si>
  <si>
    <t>Izd. Za financ.imov.i otplate zajmova</t>
  </si>
  <si>
    <t>Izdaci za otpl. Glavn. Primljenih zajmova</t>
  </si>
  <si>
    <t>Otplata glavn. Primlj. Zajmova od kred. Institituc.</t>
  </si>
  <si>
    <t>Otplata glavn. Primlj. Kred. Dugoročni</t>
  </si>
  <si>
    <t>PRORAČUN 2020</t>
  </si>
  <si>
    <t>64132 kamate</t>
  </si>
  <si>
    <t>65264 dopunsko</t>
  </si>
  <si>
    <t>65267 refund.osig.</t>
  </si>
  <si>
    <t>66151 vlastiti prihodi</t>
  </si>
  <si>
    <t>66314 donacije</t>
  </si>
  <si>
    <t>67111 prih.za finan.rashoda-pgž</t>
  </si>
  <si>
    <t>67311 HZZO</t>
  </si>
  <si>
    <t>68311 ostali prihodi</t>
  </si>
  <si>
    <t>84432 kredit</t>
  </si>
  <si>
    <t>92211 prenesena sredstva</t>
  </si>
  <si>
    <t>Doprinosi za zapošljavanje</t>
  </si>
  <si>
    <t>Preraspodjela viška iz 2019.g. 3.069.732,70 kn</t>
  </si>
  <si>
    <t>RAZLIKA</t>
  </si>
  <si>
    <t xml:space="preserve"> </t>
  </si>
  <si>
    <t xml:space="preserve">Negativne tečajne razlike </t>
  </si>
  <si>
    <t>Usluge tekućeg i inv.  održavanja</t>
  </si>
  <si>
    <t>Uredski materijal i ostali mat. rashodi</t>
  </si>
  <si>
    <t>Račun iz raču. Pl.</t>
  </si>
  <si>
    <t>Nakn. za prijev. rad na ter. odv. Živ.</t>
  </si>
  <si>
    <t>Materijal i dijel. za tek. i invest. Održ.</t>
  </si>
  <si>
    <t>Službena, radna i zašt.odjeća i ob.</t>
  </si>
  <si>
    <t>Rash. za nabavu proizv. dugotr. imovine</t>
  </si>
  <si>
    <t>Rashodi za dodatna ulag. na nefinanc. imovini</t>
  </si>
  <si>
    <t>Umjetn., literarna i znanstvena djela</t>
  </si>
  <si>
    <t>Ostala nematerij. Proizved. imovina</t>
  </si>
  <si>
    <t>Dodatna ulag.na građevinskim objekt.</t>
  </si>
  <si>
    <t>Program 1</t>
  </si>
  <si>
    <t>Program 2</t>
  </si>
  <si>
    <t>Program 3</t>
  </si>
  <si>
    <t>Rash. za nabavu neproizv. Dugotr. imovine</t>
  </si>
  <si>
    <t>Bank. usluge i usluge platnog prom.</t>
  </si>
  <si>
    <t>Ostali nespomenuti rashodi posl.</t>
  </si>
  <si>
    <t xml:space="preserve">Nakn. trošk. osob. izvan radn. odnosa </t>
  </si>
  <si>
    <t>Šifra</t>
  </si>
  <si>
    <t>PRIJEDLOG PLANA ZA 2020.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</si>
  <si>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</si>
  <si>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</si>
  <si>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</si>
  <si>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</si>
  <si>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</si>
  <si>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</si>
  <si>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</si>
  <si>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Prenesena sredstva iz prethodne godine</t>
  </si>
  <si>
    <t>111 - PGŽ</t>
  </si>
  <si>
    <t>4311 - HZZO</t>
  </si>
  <si>
    <t xml:space="preserve">PRORAČUNSKI KORISNIK: </t>
  </si>
  <si>
    <t>Thalassotherapia Opatija</t>
  </si>
  <si>
    <t>Program</t>
  </si>
  <si>
    <t>SIGURNOST ZDRAVLJA I PRAVA NA ZDRAVSTVENE USLUGE</t>
  </si>
  <si>
    <t>A</t>
  </si>
  <si>
    <t>Dostupnost na primarnoj razini zdravstvene zaštite</t>
  </si>
  <si>
    <t>Doprinosi za mirovinsko osiguranje</t>
  </si>
  <si>
    <t>Doprinosi za obvezno osiguranje u slučaju nezaposlenosti</t>
  </si>
  <si>
    <t>Naknade za prijevoz, rad na terenu i odvojeni život</t>
  </si>
  <si>
    <t>Uredski materijal i ostali materijalni rashodi</t>
  </si>
  <si>
    <t>Materijal i dijelovi za tekuće i investicijsko održavanje</t>
  </si>
  <si>
    <t>Usluge tekućeg i investicijskog održavanja</t>
  </si>
  <si>
    <t>Naknade za rad upravnih vijeća</t>
  </si>
  <si>
    <t>Premija osiguranja</t>
  </si>
  <si>
    <t>Članarina</t>
  </si>
  <si>
    <t>Bankarske usluge i i usluge platnog prometa</t>
  </si>
  <si>
    <t>Dostupnost na sekundarnoj razini zdravstvene zaštite</t>
  </si>
  <si>
    <t>Plaće u naravi</t>
  </si>
  <si>
    <t>Naknade osobama izvan radnog odnosa</t>
  </si>
  <si>
    <t>Specijalizacije doktora medicine</t>
  </si>
  <si>
    <t>Plaća za posebne uvj. Rada</t>
  </si>
  <si>
    <t>Zdravstvene mjere zaštite okoliša</t>
  </si>
  <si>
    <t>Doprinosi za zdravstveno osiguranje</t>
  </si>
  <si>
    <t>Socijalno-medicinska istraživanja</t>
  </si>
  <si>
    <t>Prevencija i liječenje ovisnosti</t>
  </si>
  <si>
    <t>Nadzor nad DDD mjerama</t>
  </si>
  <si>
    <t>Ostali programi edukacije i prevencije</t>
  </si>
  <si>
    <t>UNAPRJEĐENJE KVALITETE ZDRAVSTVENE ZAŠTITE - NADSTANDARD</t>
  </si>
  <si>
    <t>Zdravstveno-rekreativni kamp za djecu iz Vukovara i djecu s cerebralnom i dječjom paralizom</t>
  </si>
  <si>
    <t xml:space="preserve">Materijal i sirovine </t>
  </si>
  <si>
    <t>Ostale usluge prijevoza</t>
  </si>
  <si>
    <t>HMP u turističkoj sezoni</t>
  </si>
  <si>
    <t>Dežurna ambulanta Doma zdravlja PGŽ</t>
  </si>
  <si>
    <t>Sanitetski prijevoz pacijenata u Gorskom Kotaru - Dom zdravlja PGŽ</t>
  </si>
  <si>
    <t>Palijativna zdravstvena skrb u Gorskom kotaru - Dom zdravlja PGŽ</t>
  </si>
  <si>
    <t xml:space="preserve">Poboljšanje i razvoj zdravstvenog standarda </t>
  </si>
  <si>
    <t>Materijal I sirovine</t>
  </si>
  <si>
    <t>Službena radna I zaštitna odjeća I obuća</t>
  </si>
  <si>
    <t>Usluge promidžbe I informiranja</t>
  </si>
  <si>
    <t>Naknade za rad predstavničkih I izvršnih tijela, povjerenstava I slično</t>
  </si>
  <si>
    <t>Članarine I norme</t>
  </si>
  <si>
    <t>Kamate za primljene kredite I zajmove od kre.</t>
  </si>
  <si>
    <t>Negativne tečajne razlike I razlike zbog primjene valutne klauzule</t>
  </si>
  <si>
    <t>Bolnica na otvorenom - Lječilište V.Lošinj</t>
  </si>
  <si>
    <t>INVESTICIJE U ZDRAVSTVENU INFRASTRUKTURU</t>
  </si>
  <si>
    <t>K</t>
  </si>
  <si>
    <t>Zakonski standard održavanja i opremanja - popis prioriteta</t>
  </si>
  <si>
    <t>Usluge tek.i investicijskog održavanja</t>
  </si>
  <si>
    <t>Ulaganje u računalne programe</t>
  </si>
  <si>
    <t>Ostala nematerijal.proiz.imovina</t>
  </si>
  <si>
    <t>Dodatna ulaganja u građ. Objekte</t>
  </si>
  <si>
    <t>Ulaganje i opremanje objekata</t>
  </si>
  <si>
    <t>Izdaci za otpl. glavnice primlj. kredita</t>
  </si>
  <si>
    <t>Otplata glavn. primlj. kredita od tuzemn. kreditn. instit.</t>
  </si>
  <si>
    <t xml:space="preserve">Zanavljanje voznog parka </t>
  </si>
  <si>
    <t>Revitaliizacija Lječilišnog Centra Veli Lošinj</t>
  </si>
  <si>
    <t>Dodatna ulaganja u građevinskim objektima</t>
  </si>
  <si>
    <t>UKUPNO:</t>
  </si>
  <si>
    <t>IZVORI</t>
  </si>
  <si>
    <t>PROGRAMI</t>
  </si>
  <si>
    <t>1. IZMJENA I DOPUNA FINANCIJSKOG PLANA RASHODA I IZDATAKA ZA 2020. GOD.</t>
  </si>
  <si>
    <t>PREDSJEDNICA UPRAVNOG VIJEĆA</t>
  </si>
  <si>
    <t>Prof.dr.sc. Romana Jerković, dr.med.</t>
  </si>
  <si>
    <t>ZBIRNO PLAN PRIHODA I PRIMITAKA 2020.G.</t>
  </si>
  <si>
    <t>1.IZMJENA I DOPUNA FINANCIJSKOG PLANA PRIHODA I PRIMITAKA ZA 2020. G.</t>
  </si>
  <si>
    <t>1. IZMJENA ZBIRNO PLAN PRIHODA I PRIMITAKA</t>
  </si>
  <si>
    <t>INDEKS (1. izmjena u odnosu na početni plan)</t>
  </si>
  <si>
    <t>1. IZMJENA I DOPUNA FINANCIJSKOG PLANA PRIHODA I PRIMITAKA ZA 2020. GOD.</t>
  </si>
  <si>
    <t>Thalassotherapia Opatija - Specijalna bolnica za medicinsku rehabilitaciju bolesti srca, pluća i reumatizma</t>
  </si>
  <si>
    <t>VIŠE / MANJE</t>
  </si>
  <si>
    <t>1. IZMJENA I DOPUNA</t>
  </si>
  <si>
    <t>445 - DEC</t>
  </si>
  <si>
    <t>383,483,582</t>
  </si>
  <si>
    <t>PLAN S RASPO. VIŠKA</t>
  </si>
  <si>
    <t>INDEKS (1.izmj. u odnosu na plan s ras.viška)</t>
  </si>
</sst>
</file>

<file path=xl/styles.xml><?xml version="1.0" encoding="utf-8"?>
<styleSheet xmlns="http://schemas.openxmlformats.org/spreadsheetml/2006/main">
  <numFmts count="1">
    <numFmt numFmtId="164" formatCode="_-* #,##0.00\ _k_n_-;\-* #,##0.00\ _k_n_-;_-* &quot;-&quot;??\ _k_n_-;_-@_-"/>
  </numFmts>
  <fonts count="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MS Sans Serif"/>
      <family val="2"/>
    </font>
    <font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8"/>
      <color rgb="FF000000"/>
      <name val="Arial"/>
      <family val="2"/>
    </font>
    <font>
      <sz val="12"/>
      <color theme="1"/>
      <name val="Arial"/>
      <family val="2"/>
      <charset val="238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i/>
      <sz val="12"/>
      <color theme="1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i/>
      <sz val="12"/>
      <color rgb="FFFF0000"/>
      <name val="Arial"/>
      <family val="2"/>
      <charset val="238"/>
    </font>
    <font>
      <i/>
      <sz val="12"/>
      <color rgb="FFFF0000"/>
      <name val="Arial"/>
      <family val="2"/>
    </font>
    <font>
      <b/>
      <sz val="8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7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6" applyNumberFormat="0" applyAlignment="0" applyProtection="0"/>
    <xf numFmtId="0" fontId="14" fillId="19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6" applyNumberFormat="0" applyAlignment="0" applyProtection="0"/>
    <xf numFmtId="0" fontId="21" fillId="0" borderId="11" applyNumberFormat="0" applyFill="0" applyAlignment="0" applyProtection="0"/>
    <xf numFmtId="0" fontId="22" fillId="9" borderId="0" applyNumberFormat="0" applyBorder="0" applyAlignment="0" applyProtection="0"/>
    <xf numFmtId="0" fontId="7" fillId="0" borderId="0"/>
    <xf numFmtId="0" fontId="1" fillId="0" borderId="0"/>
    <xf numFmtId="0" fontId="7" fillId="6" borderId="12" applyNumberFormat="0" applyFont="0" applyAlignment="0" applyProtection="0"/>
    <xf numFmtId="0" fontId="23" fillId="18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</cellStyleXfs>
  <cellXfs count="346">
    <xf numFmtId="0" fontId="0" fillId="0" borderId="0" xfId="0"/>
    <xf numFmtId="0" fontId="4" fillId="0" borderId="0" xfId="46" applyNumberFormat="1" applyFont="1" applyFill="1" applyBorder="1" applyAlignment="1" applyProtection="1"/>
    <xf numFmtId="1" fontId="9" fillId="0" borderId="0" xfId="46" applyNumberFormat="1" applyFont="1" applyAlignment="1">
      <alignment wrapText="1"/>
    </xf>
    <xf numFmtId="0" fontId="9" fillId="0" borderId="0" xfId="46" applyFont="1"/>
    <xf numFmtId="0" fontId="9" fillId="0" borderId="0" xfId="46" applyFont="1" applyAlignment="1">
      <alignment horizontal="right"/>
    </xf>
    <xf numFmtId="1" fontId="8" fillId="21" borderId="20" xfId="46" applyNumberFormat="1" applyFont="1" applyFill="1" applyBorder="1" applyAlignment="1">
      <alignment horizontal="right" vertical="top" wrapText="1"/>
    </xf>
    <xf numFmtId="1" fontId="8" fillId="21" borderId="22" xfId="46" applyNumberFormat="1" applyFont="1" applyFill="1" applyBorder="1" applyAlignment="1">
      <alignment horizontal="left" wrapText="1"/>
    </xf>
    <xf numFmtId="1" fontId="9" fillId="0" borderId="25" xfId="46" applyNumberFormat="1" applyFont="1" applyBorder="1" applyAlignment="1">
      <alignment horizontal="left" wrapText="1"/>
    </xf>
    <xf numFmtId="3" fontId="9" fillId="0" borderId="26" xfId="46" applyNumberFormat="1" applyFont="1" applyBorder="1"/>
    <xf numFmtId="3" fontId="9" fillId="0" borderId="26" xfId="46" applyNumberFormat="1" applyFont="1" applyBorder="1" applyAlignment="1">
      <alignment horizontal="center" wrapText="1"/>
    </xf>
    <xf numFmtId="3" fontId="9" fillId="0" borderId="26" xfId="46" applyNumberFormat="1" applyFont="1" applyBorder="1" applyAlignment="1">
      <alignment horizontal="center" vertical="center" wrapText="1"/>
    </xf>
    <xf numFmtId="1" fontId="9" fillId="0" borderId="16" xfId="46" applyNumberFormat="1" applyFont="1" applyBorder="1" applyAlignment="1">
      <alignment horizontal="left" wrapText="1"/>
    </xf>
    <xf numFmtId="3" fontId="9" fillId="0" borderId="4" xfId="46" applyNumberFormat="1" applyFont="1" applyBorder="1"/>
    <xf numFmtId="0" fontId="4" fillId="0" borderId="0" xfId="46" applyNumberFormat="1" applyFont="1" applyFill="1" applyBorder="1" applyAlignment="1" applyProtection="1">
      <alignment vertical="center" wrapText="1"/>
    </xf>
    <xf numFmtId="0" fontId="4" fillId="0" borderId="0" xfId="46" applyNumberFormat="1" applyFont="1" applyFill="1" applyBorder="1" applyAlignment="1" applyProtection="1">
      <alignment horizontal="center" vertical="center" wrapText="1"/>
    </xf>
    <xf numFmtId="0" fontId="4" fillId="0" borderId="0" xfId="46" applyNumberFormat="1" applyFont="1" applyFill="1" applyBorder="1" applyAlignment="1" applyProtection="1">
      <alignment vertical="center"/>
    </xf>
    <xf numFmtId="0" fontId="4" fillId="0" borderId="0" xfId="46" applyNumberFormat="1" applyFont="1" applyFill="1" applyBorder="1" applyAlignment="1" applyProtection="1">
      <alignment horizontal="center" vertical="center"/>
    </xf>
    <xf numFmtId="3" fontId="3" fillId="23" borderId="37" xfId="40" applyNumberFormat="1" applyFont="1" applyFill="1" applyBorder="1" applyAlignment="1">
      <alignment horizontal="right" wrapText="1"/>
    </xf>
    <xf numFmtId="3" fontId="32" fillId="0" borderId="37" xfId="40" applyNumberFormat="1" applyFont="1" applyBorder="1" applyAlignment="1">
      <alignment horizontal="right"/>
    </xf>
    <xf numFmtId="3" fontId="32" fillId="0" borderId="37" xfId="40" applyNumberFormat="1" applyFont="1" applyBorder="1" applyAlignment="1"/>
    <xf numFmtId="3" fontId="3" fillId="23" borderId="37" xfId="40" applyNumberFormat="1" applyFont="1" applyFill="1" applyBorder="1" applyAlignment="1">
      <alignment wrapText="1"/>
    </xf>
    <xf numFmtId="3" fontId="33" fillId="0" borderId="37" xfId="40" applyNumberFormat="1" applyFont="1" applyBorder="1" applyAlignment="1"/>
    <xf numFmtId="3" fontId="39" fillId="0" borderId="37" xfId="40" applyNumberFormat="1" applyFont="1" applyBorder="1" applyAlignment="1"/>
    <xf numFmtId="3" fontId="29" fillId="23" borderId="37" xfId="40" applyNumberFormat="1" applyFont="1" applyFill="1" applyBorder="1" applyAlignment="1">
      <alignment horizontal="right" wrapText="1"/>
    </xf>
    <xf numFmtId="3" fontId="39" fillId="0" borderId="37" xfId="40" applyNumberFormat="1" applyFont="1" applyBorder="1" applyAlignment="1">
      <alignment horizontal="right"/>
    </xf>
    <xf numFmtId="3" fontId="40" fillId="23" borderId="37" xfId="40" applyNumberFormat="1" applyFont="1" applyFill="1" applyBorder="1" applyAlignment="1">
      <alignment horizontal="right" wrapText="1"/>
    </xf>
    <xf numFmtId="3" fontId="39" fillId="0" borderId="44" xfId="40" applyNumberFormat="1" applyFont="1" applyBorder="1" applyAlignment="1">
      <alignment horizontal="right"/>
    </xf>
    <xf numFmtId="3" fontId="49" fillId="0" borderId="37" xfId="40" applyNumberFormat="1" applyFont="1" applyBorder="1" applyAlignment="1">
      <alignment horizontal="right"/>
    </xf>
    <xf numFmtId="3" fontId="49" fillId="0" borderId="37" xfId="40" applyNumberFormat="1" applyFont="1" applyBorder="1" applyAlignment="1"/>
    <xf numFmtId="3" fontId="50" fillId="0" borderId="37" xfId="40" applyNumberFormat="1" applyFont="1" applyBorder="1" applyAlignment="1">
      <alignment horizontal="right"/>
    </xf>
    <xf numFmtId="3" fontId="50" fillId="0" borderId="37" xfId="40" applyNumberFormat="1" applyFont="1" applyBorder="1" applyAlignment="1"/>
    <xf numFmtId="3" fontId="44" fillId="0" borderId="0" xfId="0" applyNumberFormat="1" applyFont="1"/>
    <xf numFmtId="3" fontId="4" fillId="0" borderId="0" xfId="46" applyNumberFormat="1" applyFont="1" applyFill="1" applyBorder="1" applyAlignment="1" applyProtection="1"/>
    <xf numFmtId="1" fontId="9" fillId="0" borderId="0" xfId="46" applyNumberFormat="1" applyFont="1" applyBorder="1"/>
    <xf numFmtId="3" fontId="27" fillId="0" borderId="0" xfId="40" applyNumberFormat="1" applyFont="1" applyAlignment="1"/>
    <xf numFmtId="3" fontId="5" fillId="23" borderId="36" xfId="40" applyNumberFormat="1" applyFont="1" applyFill="1" applyBorder="1" applyAlignment="1">
      <alignment horizontal="right" wrapText="1"/>
    </xf>
    <xf numFmtId="3" fontId="5" fillId="23" borderId="36" xfId="40" applyNumberFormat="1" applyFont="1" applyFill="1" applyBorder="1" applyAlignment="1">
      <alignment wrapText="1"/>
    </xf>
    <xf numFmtId="3" fontId="5" fillId="23" borderId="4" xfId="40" applyNumberFormat="1" applyFont="1" applyFill="1" applyBorder="1" applyAlignment="1">
      <alignment wrapText="1"/>
    </xf>
    <xf numFmtId="3" fontId="28" fillId="23" borderId="4" xfId="40" applyNumberFormat="1" applyFont="1" applyFill="1" applyBorder="1" applyAlignment="1">
      <alignment wrapText="1"/>
    </xf>
    <xf numFmtId="3" fontId="47" fillId="0" borderId="4" xfId="40" applyNumberFormat="1" applyFont="1" applyBorder="1" applyAlignment="1"/>
    <xf numFmtId="3" fontId="6" fillId="23" borderId="4" xfId="40" applyNumberFormat="1" applyFont="1" applyFill="1" applyBorder="1" applyAlignment="1">
      <alignment wrapText="1"/>
    </xf>
    <xf numFmtId="3" fontId="27" fillId="0" borderId="0" xfId="40" applyNumberFormat="1" applyFont="1" applyAlignment="1">
      <alignment horizontal="left" indent="1"/>
    </xf>
    <xf numFmtId="3" fontId="9" fillId="0" borderId="52" xfId="46" applyNumberFormat="1" applyFont="1" applyBorder="1"/>
    <xf numFmtId="3" fontId="9" fillId="0" borderId="1" xfId="46" applyNumberFormat="1" applyFont="1" applyBorder="1"/>
    <xf numFmtId="3" fontId="4" fillId="0" borderId="0" xfId="46" applyNumberFormat="1" applyFont="1" applyFill="1" applyBorder="1" applyAlignment="1" applyProtection="1">
      <alignment horizontal="left" vertical="center" wrapText="1"/>
    </xf>
    <xf numFmtId="3" fontId="27" fillId="0" borderId="52" xfId="40" applyNumberFormat="1" applyFont="1" applyBorder="1" applyAlignment="1">
      <alignment horizontal="left" indent="1"/>
    </xf>
    <xf numFmtId="3" fontId="42" fillId="20" borderId="1" xfId="40" applyNumberFormat="1" applyFont="1" applyFill="1" applyBorder="1" applyAlignment="1"/>
    <xf numFmtId="0" fontId="27" fillId="0" borderId="0" xfId="40" applyFont="1" applyAlignment="1">
      <alignment horizontal="left" indent="1"/>
    </xf>
    <xf numFmtId="0" fontId="30" fillId="23" borderId="35" xfId="40" applyFont="1" applyFill="1" applyBorder="1" applyAlignment="1">
      <alignment wrapText="1"/>
    </xf>
    <xf numFmtId="0" fontId="31" fillId="24" borderId="34" xfId="40" applyFont="1" applyFill="1" applyBorder="1" applyAlignment="1">
      <alignment horizontal="center" wrapText="1"/>
    </xf>
    <xf numFmtId="0" fontId="31" fillId="24" borderId="35" xfId="40" applyFont="1" applyFill="1" applyBorder="1" applyAlignment="1">
      <alignment wrapText="1"/>
    </xf>
    <xf numFmtId="0" fontId="30" fillId="23" borderId="34" xfId="40" applyFont="1" applyFill="1" applyBorder="1" applyAlignment="1">
      <alignment horizontal="left" wrapText="1"/>
    </xf>
    <xf numFmtId="3" fontId="5" fillId="23" borderId="4" xfId="40" applyNumberFormat="1" applyFont="1" applyFill="1" applyBorder="1" applyAlignment="1">
      <alignment horizontal="right" wrapText="1"/>
    </xf>
    <xf numFmtId="0" fontId="34" fillId="3" borderId="34" xfId="40" applyFont="1" applyFill="1" applyBorder="1" applyAlignment="1">
      <alignment horizontal="center" wrapText="1"/>
    </xf>
    <xf numFmtId="0" fontId="31" fillId="24" borderId="38" xfId="40" applyFont="1" applyFill="1" applyBorder="1" applyAlignment="1">
      <alignment horizontal="center" wrapText="1"/>
    </xf>
    <xf numFmtId="0" fontId="31" fillId="24" borderId="39" xfId="40" applyFont="1" applyFill="1" applyBorder="1" applyAlignment="1">
      <alignment wrapText="1"/>
    </xf>
    <xf numFmtId="0" fontId="30" fillId="23" borderId="42" xfId="40" applyFont="1" applyFill="1" applyBorder="1" applyAlignment="1">
      <alignment wrapText="1"/>
    </xf>
    <xf numFmtId="0" fontId="31" fillId="24" borderId="42" xfId="40" applyFont="1" applyFill="1" applyBorder="1" applyAlignment="1">
      <alignment horizontal="center" wrapText="1"/>
    </xf>
    <xf numFmtId="0" fontId="31" fillId="24" borderId="42" xfId="40" applyFont="1" applyFill="1" applyBorder="1" applyAlignment="1">
      <alignment wrapText="1"/>
    </xf>
    <xf numFmtId="0" fontId="31" fillId="24" borderId="43" xfId="40" applyFont="1" applyFill="1" applyBorder="1" applyAlignment="1">
      <alignment horizontal="center" wrapText="1"/>
    </xf>
    <xf numFmtId="0" fontId="31" fillId="24" borderId="43" xfId="40" applyFont="1" applyFill="1" applyBorder="1" applyAlignment="1">
      <alignment wrapText="1"/>
    </xf>
    <xf numFmtId="0" fontId="31" fillId="24" borderId="28" xfId="40" applyFont="1" applyFill="1" applyBorder="1" applyAlignment="1">
      <alignment horizontal="center" wrapText="1"/>
    </xf>
    <xf numFmtId="0" fontId="31" fillId="24" borderId="28" xfId="40" applyFont="1" applyFill="1" applyBorder="1" applyAlignment="1">
      <alignment wrapText="1"/>
    </xf>
    <xf numFmtId="0" fontId="27" fillId="0" borderId="0" xfId="40" applyFont="1" applyAlignment="1"/>
    <xf numFmtId="0" fontId="44" fillId="0" borderId="0" xfId="0" applyFont="1"/>
    <xf numFmtId="3" fontId="42" fillId="20" borderId="18" xfId="40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 applyProtection="1"/>
    <xf numFmtId="0" fontId="51" fillId="25" borderId="1" xfId="1" applyNumberFormat="1" applyFont="1" applyFill="1" applyBorder="1" applyAlignment="1" applyProtection="1">
      <alignment horizontal="center" vertical="center" wrapText="1"/>
    </xf>
    <xf numFmtId="0" fontId="51" fillId="25" borderId="2" xfId="1" applyNumberFormat="1" applyFont="1" applyFill="1" applyBorder="1" applyAlignment="1" applyProtection="1">
      <alignment horizontal="center" vertical="center" wrapText="1"/>
    </xf>
    <xf numFmtId="0" fontId="51" fillId="26" borderId="48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5" xfId="1" applyNumberFormat="1" applyFont="1" applyFill="1" applyBorder="1" applyAlignment="1" applyProtection="1">
      <alignment horizontal="center"/>
    </xf>
    <xf numFmtId="0" fontId="4" fillId="0" borderId="48" xfId="1" applyNumberFormat="1" applyFont="1" applyFill="1" applyBorder="1" applyAlignment="1" applyProtection="1">
      <alignment wrapText="1"/>
    </xf>
    <xf numFmtId="0" fontId="4" fillId="0" borderId="48" xfId="1" applyNumberFormat="1" applyFont="1" applyFill="1" applyBorder="1" applyAlignment="1" applyProtection="1"/>
    <xf numFmtId="0" fontId="5" fillId="0" borderId="48" xfId="1" applyNumberFormat="1" applyFont="1" applyFill="1" applyBorder="1" applyAlignment="1" applyProtection="1">
      <alignment horizontal="center" vertical="center"/>
    </xf>
    <xf numFmtId="0" fontId="5" fillId="0" borderId="48" xfId="1" applyNumberFormat="1" applyFont="1" applyFill="1" applyBorder="1" applyAlignment="1" applyProtection="1">
      <alignment horizontal="center"/>
    </xf>
    <xf numFmtId="0" fontId="5" fillId="0" borderId="51" xfId="1" applyNumberFormat="1" applyFont="1" applyFill="1" applyBorder="1" applyAlignment="1" applyProtection="1">
      <alignment horizontal="center"/>
    </xf>
    <xf numFmtId="4" fontId="5" fillId="0" borderId="51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>
      <alignment horizontal="center"/>
    </xf>
    <xf numFmtId="0" fontId="4" fillId="0" borderId="4" xfId="1" applyNumberFormat="1" applyFont="1" applyFill="1" applyBorder="1" applyAlignment="1" applyProtection="1">
      <alignment wrapText="1"/>
    </xf>
    <xf numFmtId="4" fontId="4" fillId="0" borderId="4" xfId="1" applyNumberFormat="1" applyFont="1" applyFill="1" applyBorder="1" applyAlignment="1" applyProtection="1"/>
    <xf numFmtId="0" fontId="5" fillId="27" borderId="4" xfId="1" applyNumberFormat="1" applyFont="1" applyFill="1" applyBorder="1" applyAlignment="1" applyProtection="1">
      <alignment horizontal="center"/>
    </xf>
    <xf numFmtId="0" fontId="5" fillId="27" borderId="4" xfId="1" applyNumberFormat="1" applyFont="1" applyFill="1" applyBorder="1" applyAlignment="1" applyProtection="1">
      <alignment wrapText="1"/>
    </xf>
    <xf numFmtId="4" fontId="5" fillId="27" borderId="4" xfId="1" applyNumberFormat="1" applyFont="1" applyFill="1" applyBorder="1" applyAlignment="1" applyProtection="1"/>
    <xf numFmtId="0" fontId="5" fillId="28" borderId="4" xfId="1" applyNumberFormat="1" applyFont="1" applyFill="1" applyBorder="1" applyAlignment="1" applyProtection="1">
      <alignment horizontal="center"/>
    </xf>
    <xf numFmtId="0" fontId="5" fillId="28" borderId="4" xfId="1" applyNumberFormat="1" applyFont="1" applyFill="1" applyBorder="1" applyAlignment="1" applyProtection="1">
      <alignment wrapText="1"/>
    </xf>
    <xf numFmtId="4" fontId="5" fillId="28" borderId="4" xfId="1" applyNumberFormat="1" applyFont="1" applyFill="1" applyBorder="1" applyAlignment="1" applyProtection="1"/>
    <xf numFmtId="0" fontId="4" fillId="0" borderId="4" xfId="1" applyNumberFormat="1" applyFont="1" applyFill="1" applyBorder="1" applyAlignment="1" applyProtection="1">
      <alignment horizontal="center"/>
    </xf>
    <xf numFmtId="0" fontId="6" fillId="2" borderId="4" xfId="1" applyNumberFormat="1" applyFont="1" applyFill="1" applyBorder="1" applyAlignment="1" applyProtection="1">
      <alignment horizontal="center"/>
    </xf>
    <xf numFmtId="0" fontId="6" fillId="2" borderId="4" xfId="1" applyNumberFormat="1" applyFont="1" applyFill="1" applyBorder="1" applyAlignment="1" applyProtection="1">
      <alignment wrapText="1"/>
    </xf>
    <xf numFmtId="4" fontId="6" fillId="28" borderId="4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4" fontId="4" fillId="0" borderId="4" xfId="2" applyNumberFormat="1" applyFont="1" applyFill="1" applyBorder="1" applyAlignment="1" applyProtection="1"/>
    <xf numFmtId="4" fontId="52" fillId="0" borderId="4" xfId="1" applyNumberFormat="1" applyFont="1" applyFill="1" applyBorder="1" applyAlignment="1" applyProtection="1"/>
    <xf numFmtId="4" fontId="5" fillId="0" borderId="4" xfId="2" applyNumberFormat="1" applyFont="1" applyFill="1" applyBorder="1" applyAlignment="1" applyProtection="1"/>
    <xf numFmtId="4" fontId="5" fillId="0" borderId="4" xfId="1" applyNumberFormat="1" applyFont="1" applyFill="1" applyBorder="1" applyAlignment="1" applyProtection="1"/>
    <xf numFmtId="0" fontId="6" fillId="28" borderId="4" xfId="1" applyNumberFormat="1" applyFont="1" applyFill="1" applyBorder="1" applyAlignment="1" applyProtection="1">
      <alignment horizontal="center"/>
    </xf>
    <xf numFmtId="0" fontId="6" fillId="28" borderId="4" xfId="1" applyNumberFormat="1" applyFont="1" applyFill="1" applyBorder="1" applyAlignment="1" applyProtection="1">
      <alignment wrapText="1"/>
    </xf>
    <xf numFmtId="4" fontId="6" fillId="28" borderId="4" xfId="2" applyNumberFormat="1" applyFont="1" applyFill="1" applyBorder="1" applyAlignment="1" applyProtection="1"/>
    <xf numFmtId="0" fontId="53" fillId="0" borderId="4" xfId="1" applyNumberFormat="1" applyFont="1" applyFill="1" applyBorder="1" applyAlignment="1" applyProtection="1">
      <alignment wrapText="1"/>
    </xf>
    <xf numFmtId="4" fontId="4" fillId="28" borderId="4" xfId="1" applyNumberFormat="1" applyFont="1" applyFill="1" applyBorder="1" applyAlignment="1" applyProtection="1"/>
    <xf numFmtId="0" fontId="5" fillId="29" borderId="4" xfId="1" applyNumberFormat="1" applyFont="1" applyFill="1" applyBorder="1" applyAlignment="1" applyProtection="1">
      <alignment horizontal="center"/>
    </xf>
    <xf numFmtId="0" fontId="5" fillId="29" borderId="4" xfId="1" applyNumberFormat="1" applyFont="1" applyFill="1" applyBorder="1" applyAlignment="1" applyProtection="1">
      <alignment wrapText="1"/>
    </xf>
    <xf numFmtId="4" fontId="4" fillId="29" borderId="4" xfId="1" applyNumberFormat="1" applyFont="1" applyFill="1" applyBorder="1" applyAlignment="1" applyProtection="1"/>
    <xf numFmtId="4" fontId="5" fillId="29" borderId="4" xfId="1" applyNumberFormat="1" applyFont="1" applyFill="1" applyBorder="1" applyAlignment="1" applyProtection="1"/>
    <xf numFmtId="0" fontId="4" fillId="29" borderId="0" xfId="1" applyNumberFormat="1" applyFont="1" applyFill="1" applyBorder="1" applyAlignment="1" applyProtection="1"/>
    <xf numFmtId="0" fontId="5" fillId="28" borderId="4" xfId="1" applyNumberFormat="1" applyFont="1" applyFill="1" applyBorder="1" applyAlignment="1" applyProtection="1"/>
    <xf numFmtId="4" fontId="8" fillId="0" borderId="4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5" fillId="2" borderId="4" xfId="1" applyNumberFormat="1" applyFont="1" applyFill="1" applyBorder="1" applyAlignment="1" applyProtection="1">
      <alignment horizontal="center"/>
    </xf>
    <xf numFmtId="0" fontId="5" fillId="2" borderId="4" xfId="1" applyNumberFormat="1" applyFont="1" applyFill="1" applyBorder="1" applyAlignment="1" applyProtection="1">
      <alignment wrapText="1"/>
    </xf>
    <xf numFmtId="4" fontId="4" fillId="28" borderId="4" xfId="2" applyNumberFormat="1" applyFont="1" applyFill="1" applyBorder="1" applyAlignment="1" applyProtection="1"/>
    <xf numFmtId="4" fontId="4" fillId="27" borderId="4" xfId="1" applyNumberFormat="1" applyFont="1" applyFill="1" applyBorder="1" applyAlignment="1" applyProtection="1"/>
    <xf numFmtId="4" fontId="6" fillId="0" borderId="4" xfId="1" applyNumberFormat="1" applyFont="1" applyFill="1" applyBorder="1" applyAlignment="1" applyProtection="1"/>
    <xf numFmtId="0" fontId="6" fillId="28" borderId="0" xfId="1" applyNumberFormat="1" applyFont="1" applyFill="1" applyBorder="1" applyAlignment="1" applyProtection="1"/>
    <xf numFmtId="4" fontId="4" fillId="3" borderId="4" xfId="2" applyNumberFormat="1" applyFont="1" applyFill="1" applyBorder="1" applyAlignment="1" applyProtection="1"/>
    <xf numFmtId="0" fontId="5" fillId="28" borderId="52" xfId="1" applyNumberFormat="1" applyFont="1" applyFill="1" applyBorder="1" applyAlignment="1" applyProtection="1">
      <alignment horizontal="center"/>
    </xf>
    <xf numFmtId="0" fontId="5" fillId="28" borderId="52" xfId="1" applyNumberFormat="1" applyFont="1" applyFill="1" applyBorder="1" applyAlignment="1" applyProtection="1">
      <alignment wrapText="1"/>
    </xf>
    <xf numFmtId="4" fontId="4" fillId="28" borderId="52" xfId="1" applyNumberFormat="1" applyFont="1" applyFill="1" applyBorder="1" applyAlignment="1" applyProtection="1"/>
    <xf numFmtId="0" fontId="4" fillId="0" borderId="4" xfId="1" applyNumberFormat="1" applyFont="1" applyFill="1" applyBorder="1" applyAlignment="1" applyProtection="1"/>
    <xf numFmtId="0" fontId="4" fillId="29" borderId="4" xfId="1" applyNumberFormat="1" applyFont="1" applyFill="1" applyBorder="1" applyAlignment="1" applyProtection="1"/>
    <xf numFmtId="0" fontId="54" fillId="25" borderId="0" xfId="1" applyNumberFormat="1" applyFont="1" applyFill="1" applyBorder="1" applyAlignment="1" applyProtection="1">
      <alignment horizontal="center"/>
    </xf>
    <xf numFmtId="0" fontId="55" fillId="25" borderId="0" xfId="1" applyNumberFormat="1" applyFont="1" applyFill="1" applyBorder="1" applyAlignment="1" applyProtection="1">
      <alignment wrapText="1"/>
    </xf>
    <xf numFmtId="4" fontId="55" fillId="25" borderId="0" xfId="1" applyNumberFormat="1" applyFont="1" applyFill="1" applyBorder="1" applyAlignment="1" applyProtection="1"/>
    <xf numFmtId="0" fontId="5" fillId="0" borderId="49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wrapText="1"/>
    </xf>
    <xf numFmtId="4" fontId="4" fillId="0" borderId="0" xfId="1" applyNumberFormat="1" applyFont="1" applyFill="1" applyBorder="1" applyAlignment="1" applyProtection="1"/>
    <xf numFmtId="0" fontId="55" fillId="25" borderId="0" xfId="1" applyNumberFormat="1" applyFont="1" applyFill="1" applyBorder="1" applyAlignment="1" applyProtection="1"/>
    <xf numFmtId="0" fontId="56" fillId="2" borderId="51" xfId="1" applyNumberFormat="1" applyFont="1" applyFill="1" applyBorder="1" applyAlignment="1" applyProtection="1">
      <alignment wrapText="1"/>
    </xf>
    <xf numFmtId="0" fontId="40" fillId="2" borderId="4" xfId="1" applyNumberFormat="1" applyFont="1" applyFill="1" applyBorder="1" applyAlignment="1" applyProtection="1">
      <alignment wrapText="1"/>
    </xf>
    <xf numFmtId="4" fontId="6" fillId="0" borderId="0" xfId="1" applyNumberFormat="1" applyFont="1" applyFill="1" applyBorder="1" applyAlignment="1" applyProtection="1"/>
    <xf numFmtId="4" fontId="6" fillId="0" borderId="33" xfId="1" applyNumberFormat="1" applyFont="1" applyFill="1" applyBorder="1" applyAlignment="1" applyProtection="1"/>
    <xf numFmtId="4" fontId="40" fillId="0" borderId="0" xfId="1" applyNumberFormat="1" applyFont="1" applyFill="1" applyBorder="1" applyAlignment="1" applyProtection="1"/>
    <xf numFmtId="1" fontId="8" fillId="0" borderId="18" xfId="46" applyNumberFormat="1" applyFont="1" applyBorder="1" applyAlignment="1">
      <alignment wrapText="1"/>
    </xf>
    <xf numFmtId="3" fontId="8" fillId="0" borderId="1" xfId="46" applyNumberFormat="1" applyFont="1" applyBorder="1" applyAlignment="1">
      <alignment wrapText="1"/>
    </xf>
    <xf numFmtId="3" fontId="9" fillId="0" borderId="25" xfId="46" applyNumberFormat="1" applyFont="1" applyBorder="1" applyAlignment="1">
      <alignment wrapText="1"/>
    </xf>
    <xf numFmtId="3" fontId="9" fillId="0" borderId="16" xfId="46" applyNumberFormat="1" applyFont="1" applyBorder="1" applyAlignment="1">
      <alignment wrapText="1"/>
    </xf>
    <xf numFmtId="3" fontId="4" fillId="0" borderId="17" xfId="46" applyNumberFormat="1" applyFont="1" applyFill="1" applyBorder="1" applyAlignment="1" applyProtection="1">
      <alignment vertical="center" wrapText="1"/>
    </xf>
    <xf numFmtId="3" fontId="9" fillId="0" borderId="52" xfId="46" applyNumberFormat="1" applyFont="1" applyFill="1" applyBorder="1"/>
    <xf numFmtId="3" fontId="9" fillId="0" borderId="47" xfId="46" applyNumberFormat="1" applyFont="1" applyBorder="1" applyAlignment="1">
      <alignment horizontal="center" vertical="center" wrapText="1"/>
    </xf>
    <xf numFmtId="3" fontId="9" fillId="0" borderId="60" xfId="46" applyNumberFormat="1" applyFont="1" applyBorder="1" applyAlignment="1">
      <alignment horizontal="center" vertical="center" wrapText="1"/>
    </xf>
    <xf numFmtId="3" fontId="9" fillId="0" borderId="40" xfId="46" applyNumberFormat="1" applyFont="1" applyBorder="1"/>
    <xf numFmtId="3" fontId="9" fillId="0" borderId="27" xfId="46" applyNumberFormat="1" applyFont="1" applyBorder="1"/>
    <xf numFmtId="3" fontId="9" fillId="0" borderId="61" xfId="46" applyNumberFormat="1" applyFont="1" applyBorder="1"/>
    <xf numFmtId="3" fontId="9" fillId="0" borderId="62" xfId="46" applyNumberFormat="1" applyFont="1" applyBorder="1"/>
    <xf numFmtId="1" fontId="8" fillId="21" borderId="0" xfId="46" applyNumberFormat="1" applyFont="1" applyFill="1" applyBorder="1" applyAlignment="1">
      <alignment horizontal="right" vertical="top" wrapText="1"/>
    </xf>
    <xf numFmtId="3" fontId="9" fillId="0" borderId="0" xfId="46" applyNumberFormat="1" applyFont="1" applyBorder="1" applyAlignment="1">
      <alignment wrapText="1"/>
    </xf>
    <xf numFmtId="3" fontId="4" fillId="0" borderId="0" xfId="46" applyNumberFormat="1" applyFont="1" applyFill="1" applyBorder="1" applyAlignment="1" applyProtection="1">
      <alignment vertical="center" wrapText="1"/>
    </xf>
    <xf numFmtId="3" fontId="8" fillId="0" borderId="0" xfId="46" applyNumberFormat="1" applyFont="1" applyBorder="1" applyAlignment="1">
      <alignment wrapText="1"/>
    </xf>
    <xf numFmtId="0" fontId="48" fillId="0" borderId="0" xfId="46" applyFont="1" applyFill="1" applyBorder="1" applyAlignment="1">
      <alignment wrapText="1"/>
    </xf>
    <xf numFmtId="3" fontId="48" fillId="0" borderId="55" xfId="46" applyNumberFormat="1" applyFont="1" applyFill="1" applyBorder="1"/>
    <xf numFmtId="3" fontId="48" fillId="0" borderId="36" xfId="46" applyNumberFormat="1" applyFont="1" applyFill="1" applyBorder="1"/>
    <xf numFmtId="3" fontId="48" fillId="0" borderId="22" xfId="46" applyNumberFormat="1" applyFont="1" applyFill="1" applyBorder="1"/>
    <xf numFmtId="3" fontId="48" fillId="0" borderId="18" xfId="46" applyNumberFormat="1" applyFont="1" applyBorder="1"/>
    <xf numFmtId="3" fontId="4" fillId="0" borderId="16" xfId="46" applyNumberFormat="1" applyFont="1" applyFill="1" applyBorder="1" applyAlignment="1" applyProtection="1"/>
    <xf numFmtId="3" fontId="4" fillId="0" borderId="19" xfId="46" applyNumberFormat="1" applyFont="1" applyFill="1" applyBorder="1" applyAlignment="1" applyProtection="1"/>
    <xf numFmtId="3" fontId="4" fillId="0" borderId="17" xfId="46" applyNumberFormat="1" applyFont="1" applyFill="1" applyBorder="1" applyAlignment="1" applyProtection="1"/>
    <xf numFmtId="3" fontId="4" fillId="0" borderId="1" xfId="46" applyNumberFormat="1" applyFont="1" applyFill="1" applyBorder="1" applyAlignment="1" applyProtection="1"/>
    <xf numFmtId="0" fontId="4" fillId="0" borderId="33" xfId="46" applyNumberFormat="1" applyFont="1" applyFill="1" applyBorder="1" applyAlignment="1" applyProtection="1"/>
    <xf numFmtId="0" fontId="4" fillId="0" borderId="28" xfId="46" applyNumberFormat="1" applyFont="1" applyFill="1" applyBorder="1" applyAlignment="1" applyProtection="1">
      <alignment vertical="center" wrapText="1"/>
    </xf>
    <xf numFmtId="3" fontId="5" fillId="23" borderId="16" xfId="40" applyNumberFormat="1" applyFont="1" applyFill="1" applyBorder="1" applyAlignment="1">
      <alignment wrapText="1"/>
    </xf>
    <xf numFmtId="3" fontId="40" fillId="23" borderId="16" xfId="40" applyNumberFormat="1" applyFont="1" applyFill="1" applyBorder="1" applyAlignment="1">
      <alignment wrapText="1"/>
    </xf>
    <xf numFmtId="3" fontId="27" fillId="0" borderId="16" xfId="47" applyNumberFormat="1" applyFont="1" applyFill="1" applyBorder="1" applyAlignment="1"/>
    <xf numFmtId="3" fontId="45" fillId="0" borderId="16" xfId="47" applyNumberFormat="1" applyFont="1" applyFill="1" applyBorder="1" applyAlignment="1"/>
    <xf numFmtId="3" fontId="27" fillId="0" borderId="16" xfId="40" applyNumberFormat="1" applyFont="1" applyBorder="1" applyAlignment="1"/>
    <xf numFmtId="3" fontId="5" fillId="23" borderId="16" xfId="40" applyNumberFormat="1" applyFont="1" applyFill="1" applyBorder="1" applyAlignment="1">
      <alignment horizontal="right" wrapText="1"/>
    </xf>
    <xf numFmtId="3" fontId="40" fillId="23" borderId="16" xfId="40" applyNumberFormat="1" applyFont="1" applyFill="1" applyBorder="1" applyAlignment="1">
      <alignment horizontal="right" wrapText="1"/>
    </xf>
    <xf numFmtId="3" fontId="28" fillId="23" borderId="16" xfId="40" applyNumberFormat="1" applyFont="1" applyFill="1" applyBorder="1" applyAlignment="1">
      <alignment wrapText="1"/>
    </xf>
    <xf numFmtId="3" fontId="37" fillId="23" borderId="16" xfId="40" applyNumberFormat="1" applyFont="1" applyFill="1" applyBorder="1" applyAlignment="1">
      <alignment wrapText="1"/>
    </xf>
    <xf numFmtId="0" fontId="30" fillId="23" borderId="31" xfId="40" applyFont="1" applyFill="1" applyBorder="1" applyAlignment="1">
      <alignment horizontal="left" wrapText="1"/>
    </xf>
    <xf numFmtId="0" fontId="28" fillId="23" borderId="32" xfId="40" applyFont="1" applyFill="1" applyBorder="1" applyAlignment="1">
      <alignment wrapText="1"/>
    </xf>
    <xf numFmtId="3" fontId="3" fillId="23" borderId="45" xfId="40" applyNumberFormat="1" applyFont="1" applyFill="1" applyBorder="1" applyAlignment="1">
      <alignment wrapText="1"/>
    </xf>
    <xf numFmtId="3" fontId="5" fillId="23" borderId="19" xfId="40" applyNumberFormat="1" applyFont="1" applyFill="1" applyBorder="1" applyAlignment="1">
      <alignment wrapText="1"/>
    </xf>
    <xf numFmtId="3" fontId="40" fillId="23" borderId="19" xfId="40" applyNumberFormat="1" applyFont="1" applyFill="1" applyBorder="1" applyAlignment="1">
      <alignment wrapText="1"/>
    </xf>
    <xf numFmtId="3" fontId="45" fillId="0" borderId="16" xfId="40" applyNumberFormat="1" applyFont="1" applyBorder="1" applyAlignment="1"/>
    <xf numFmtId="3" fontId="6" fillId="23" borderId="16" xfId="40" applyNumberFormat="1" applyFont="1" applyFill="1" applyBorder="1" applyAlignment="1">
      <alignment wrapText="1"/>
    </xf>
    <xf numFmtId="3" fontId="27" fillId="0" borderId="17" xfId="47" applyNumberFormat="1" applyFont="1" applyFill="1" applyBorder="1" applyAlignment="1"/>
    <xf numFmtId="3" fontId="45" fillId="0" borderId="17" xfId="47" applyNumberFormat="1" applyFont="1" applyFill="1" applyBorder="1" applyAlignment="1"/>
    <xf numFmtId="3" fontId="27" fillId="0" borderId="17" xfId="40" applyNumberFormat="1" applyFont="1" applyBorder="1" applyAlignment="1"/>
    <xf numFmtId="3" fontId="32" fillId="0" borderId="44" xfId="40" applyNumberFormat="1" applyFont="1" applyBorder="1" applyAlignment="1"/>
    <xf numFmtId="0" fontId="28" fillId="2" borderId="21" xfId="40" applyFont="1" applyFill="1" applyBorder="1" applyAlignment="1">
      <alignment wrapText="1"/>
    </xf>
    <xf numFmtId="3" fontId="3" fillId="2" borderId="3" xfId="40" applyNumberFormat="1" applyFont="1" applyFill="1" applyBorder="1" applyAlignment="1">
      <alignment wrapText="1"/>
    </xf>
    <xf numFmtId="3" fontId="5" fillId="2" borderId="1" xfId="40" applyNumberFormat="1" applyFont="1" applyFill="1" applyBorder="1" applyAlignment="1">
      <alignment wrapText="1"/>
    </xf>
    <xf numFmtId="3" fontId="40" fillId="2" borderId="1" xfId="40" applyNumberFormat="1" applyFont="1" applyFill="1" applyBorder="1" applyAlignment="1">
      <alignment wrapText="1"/>
    </xf>
    <xf numFmtId="0" fontId="29" fillId="22" borderId="63" xfId="40" applyFont="1" applyFill="1" applyBorder="1" applyAlignment="1">
      <alignment horizontal="left" wrapText="1" indent="4"/>
    </xf>
    <xf numFmtId="0" fontId="29" fillId="22" borderId="21" xfId="40" applyFont="1" applyFill="1" applyBorder="1" applyAlignment="1">
      <alignment wrapText="1"/>
    </xf>
    <xf numFmtId="3" fontId="3" fillId="22" borderId="3" xfId="40" applyNumberFormat="1" applyFont="1" applyFill="1" applyBorder="1" applyAlignment="1">
      <alignment horizontal="right" wrapText="1"/>
    </xf>
    <xf numFmtId="3" fontId="3" fillId="22" borderId="1" xfId="40" applyNumberFormat="1" applyFont="1" applyFill="1" applyBorder="1" applyAlignment="1">
      <alignment horizontal="right" wrapText="1"/>
    </xf>
    <xf numFmtId="3" fontId="3" fillId="22" borderId="18" xfId="40" applyNumberFormat="1" applyFont="1" applyFill="1" applyBorder="1" applyAlignment="1">
      <alignment horizontal="right" wrapText="1"/>
    </xf>
    <xf numFmtId="3" fontId="35" fillId="0" borderId="44" xfId="40" applyNumberFormat="1" applyFont="1" applyBorder="1" applyAlignment="1">
      <alignment horizontal="right"/>
    </xf>
    <xf numFmtId="3" fontId="45" fillId="0" borderId="17" xfId="40" applyNumberFormat="1" applyFont="1" applyBorder="1" applyAlignment="1"/>
    <xf numFmtId="0" fontId="37" fillId="22" borderId="1" xfId="40" applyFont="1" applyFill="1" applyBorder="1" applyAlignment="1">
      <alignment horizontal="center" wrapText="1"/>
    </xf>
    <xf numFmtId="3" fontId="56" fillId="22" borderId="3" xfId="40" applyNumberFormat="1" applyFont="1" applyFill="1" applyBorder="1" applyAlignment="1">
      <alignment horizontal="right" wrapText="1"/>
    </xf>
    <xf numFmtId="3" fontId="40" fillId="22" borderId="1" xfId="40" applyNumberFormat="1" applyFont="1" applyFill="1" applyBorder="1" applyAlignment="1">
      <alignment wrapText="1"/>
    </xf>
    <xf numFmtId="0" fontId="31" fillId="24" borderId="65" xfId="40" applyFont="1" applyFill="1" applyBorder="1" applyAlignment="1">
      <alignment horizontal="center" wrapText="1"/>
    </xf>
    <xf numFmtId="0" fontId="31" fillId="24" borderId="66" xfId="40" applyFont="1" applyFill="1" applyBorder="1" applyAlignment="1">
      <alignment wrapText="1"/>
    </xf>
    <xf numFmtId="0" fontId="29" fillId="22" borderId="1" xfId="40" applyFont="1" applyFill="1" applyBorder="1" applyAlignment="1">
      <alignment horizontal="left" wrapText="1" indent="4"/>
    </xf>
    <xf numFmtId="0" fontId="28" fillId="22" borderId="1" xfId="40" applyFont="1" applyFill="1" applyBorder="1" applyAlignment="1">
      <alignment wrapText="1"/>
    </xf>
    <xf numFmtId="3" fontId="37" fillId="22" borderId="18" xfId="40" applyNumberFormat="1" applyFont="1" applyFill="1" applyBorder="1" applyAlignment="1">
      <alignment horizontal="right" wrapText="1"/>
    </xf>
    <xf numFmtId="3" fontId="37" fillId="22" borderId="1" xfId="40" applyNumberFormat="1" applyFont="1" applyFill="1" applyBorder="1" applyAlignment="1">
      <alignment wrapText="1"/>
    </xf>
    <xf numFmtId="0" fontId="36" fillId="22" borderId="1" xfId="40" applyFont="1" applyFill="1" applyBorder="1" applyAlignment="1">
      <alignment wrapText="1"/>
    </xf>
    <xf numFmtId="0" fontId="30" fillId="23" borderId="32" xfId="40" applyFont="1" applyFill="1" applyBorder="1" applyAlignment="1">
      <alignment wrapText="1"/>
    </xf>
    <xf numFmtId="3" fontId="3" fillId="23" borderId="45" xfId="40" applyNumberFormat="1" applyFont="1" applyFill="1" applyBorder="1" applyAlignment="1">
      <alignment horizontal="right" wrapText="1"/>
    </xf>
    <xf numFmtId="3" fontId="5" fillId="23" borderId="51" xfId="40" applyNumberFormat="1" applyFont="1" applyFill="1" applyBorder="1" applyAlignment="1">
      <alignment wrapText="1"/>
    </xf>
    <xf numFmtId="3" fontId="3" fillId="2" borderId="3" xfId="40" applyNumberFormat="1" applyFont="1" applyFill="1" applyBorder="1" applyAlignment="1">
      <alignment horizontal="right" wrapText="1"/>
    </xf>
    <xf numFmtId="3" fontId="5" fillId="2" borderId="48" xfId="40" applyNumberFormat="1" applyFont="1" applyFill="1" applyBorder="1" applyAlignment="1">
      <alignment wrapText="1"/>
    </xf>
    <xf numFmtId="3" fontId="3" fillId="2" borderId="1" xfId="40" applyNumberFormat="1" applyFont="1" applyFill="1" applyBorder="1" applyAlignment="1">
      <alignment horizontal="right" wrapText="1"/>
    </xf>
    <xf numFmtId="3" fontId="40" fillId="2" borderId="1" xfId="40" applyNumberFormat="1" applyFont="1" applyFill="1" applyBorder="1" applyAlignment="1">
      <alignment horizontal="right" wrapText="1"/>
    </xf>
    <xf numFmtId="3" fontId="3" fillId="2" borderId="18" xfId="40" applyNumberFormat="1" applyFont="1" applyFill="1" applyBorder="1" applyAlignment="1">
      <alignment horizontal="right" wrapText="1"/>
    </xf>
    <xf numFmtId="0" fontId="31" fillId="24" borderId="61" xfId="40" applyFont="1" applyFill="1" applyBorder="1" applyAlignment="1">
      <alignment horizontal="center" wrapText="1"/>
    </xf>
    <xf numFmtId="0" fontId="31" fillId="24" borderId="62" xfId="40" applyFont="1" applyFill="1" applyBorder="1" applyAlignment="1">
      <alignment wrapText="1"/>
    </xf>
    <xf numFmtId="3" fontId="32" fillId="0" borderId="57" xfId="40" applyNumberFormat="1" applyFont="1" applyBorder="1" applyAlignment="1"/>
    <xf numFmtId="3" fontId="27" fillId="0" borderId="46" xfId="40" applyNumberFormat="1" applyFont="1" applyBorder="1" applyAlignment="1"/>
    <xf numFmtId="3" fontId="45" fillId="0" borderId="46" xfId="40" applyNumberFormat="1" applyFont="1" applyBorder="1" applyAlignment="1"/>
    <xf numFmtId="0" fontId="30" fillId="23" borderId="41" xfId="40" applyFont="1" applyFill="1" applyBorder="1" applyAlignment="1">
      <alignment wrapText="1"/>
    </xf>
    <xf numFmtId="3" fontId="37" fillId="23" borderId="55" xfId="40" applyNumberFormat="1" applyFont="1" applyFill="1" applyBorder="1" applyAlignment="1">
      <alignment horizontal="right" wrapText="1"/>
    </xf>
    <xf numFmtId="3" fontId="36" fillId="23" borderId="19" xfId="40" applyNumberFormat="1" applyFont="1" applyFill="1" applyBorder="1" applyAlignment="1">
      <alignment wrapText="1"/>
    </xf>
    <xf numFmtId="3" fontId="37" fillId="23" borderId="19" xfId="40" applyNumberFormat="1" applyFont="1" applyFill="1" applyBorder="1" applyAlignment="1">
      <alignment wrapText="1"/>
    </xf>
    <xf numFmtId="0" fontId="28" fillId="2" borderId="1" xfId="40" applyFont="1" applyFill="1" applyBorder="1" applyAlignment="1">
      <alignment wrapText="1"/>
    </xf>
    <xf numFmtId="3" fontId="37" fillId="2" borderId="18" xfId="40" applyNumberFormat="1" applyFont="1" applyFill="1" applyBorder="1" applyAlignment="1">
      <alignment horizontal="right" wrapText="1"/>
    </xf>
    <xf numFmtId="3" fontId="36" fillId="2" borderId="1" xfId="40" applyNumberFormat="1" applyFont="1" applyFill="1" applyBorder="1" applyAlignment="1">
      <alignment wrapText="1"/>
    </xf>
    <xf numFmtId="3" fontId="37" fillId="2" borderId="1" xfId="40" applyNumberFormat="1" applyFont="1" applyFill="1" applyBorder="1" applyAlignment="1">
      <alignment wrapText="1"/>
    </xf>
    <xf numFmtId="3" fontId="37" fillId="2" borderId="1" xfId="40" applyNumberFormat="1" applyFont="1" applyFill="1" applyBorder="1" applyAlignment="1">
      <alignment horizontal="right" wrapText="1"/>
    </xf>
    <xf numFmtId="3" fontId="37" fillId="23" borderId="45" xfId="40" applyNumberFormat="1" applyFont="1" applyFill="1" applyBorder="1" applyAlignment="1">
      <alignment horizontal="right" wrapText="1"/>
    </xf>
    <xf numFmtId="3" fontId="37" fillId="2" borderId="3" xfId="40" applyNumberFormat="1" applyFont="1" applyFill="1" applyBorder="1" applyAlignment="1">
      <alignment horizontal="right" wrapText="1"/>
    </xf>
    <xf numFmtId="0" fontId="31" fillId="23" borderId="19" xfId="40" applyFont="1" applyFill="1" applyBorder="1" applyAlignment="1">
      <alignment wrapText="1"/>
    </xf>
    <xf numFmtId="3" fontId="41" fillId="23" borderId="45" xfId="40" applyNumberFormat="1" applyFont="1" applyFill="1" applyBorder="1" applyAlignment="1">
      <alignment horizontal="right" wrapText="1"/>
    </xf>
    <xf numFmtId="3" fontId="46" fillId="23" borderId="19" xfId="40" applyNumberFormat="1" applyFont="1" applyFill="1" applyBorder="1" applyAlignment="1">
      <alignment wrapText="1"/>
    </xf>
    <xf numFmtId="3" fontId="57" fillId="23" borderId="19" xfId="40" applyNumberFormat="1" applyFont="1" applyFill="1" applyBorder="1" applyAlignment="1">
      <alignment wrapText="1"/>
    </xf>
    <xf numFmtId="0" fontId="31" fillId="2" borderId="1" xfId="40" applyFont="1" applyFill="1" applyBorder="1" applyAlignment="1">
      <alignment wrapText="1"/>
    </xf>
    <xf numFmtId="3" fontId="56" fillId="2" borderId="3" xfId="40" applyNumberFormat="1" applyFont="1" applyFill="1" applyBorder="1" applyAlignment="1">
      <alignment horizontal="right" wrapText="1"/>
    </xf>
    <xf numFmtId="3" fontId="6" fillId="2" borderId="1" xfId="40" applyNumberFormat="1" applyFont="1" applyFill="1" applyBorder="1" applyAlignment="1">
      <alignment wrapText="1"/>
    </xf>
    <xf numFmtId="0" fontId="28" fillId="2" borderId="63" xfId="40" applyFont="1" applyFill="1" applyBorder="1" applyAlignment="1">
      <alignment wrapText="1"/>
    </xf>
    <xf numFmtId="0" fontId="28" fillId="2" borderId="63" xfId="40" applyFont="1" applyFill="1" applyBorder="1" applyAlignment="1">
      <alignment horizontal="right" wrapText="1"/>
    </xf>
    <xf numFmtId="0" fontId="28" fillId="2" borderId="63" xfId="40" applyFont="1" applyFill="1" applyBorder="1" applyAlignment="1">
      <alignment horizontal="right"/>
    </xf>
    <xf numFmtId="4" fontId="36" fillId="2" borderId="1" xfId="40" applyNumberFormat="1" applyFont="1" applyFill="1" applyBorder="1" applyAlignment="1">
      <alignment horizontal="right" wrapText="1"/>
    </xf>
    <xf numFmtId="0" fontId="28" fillId="2" borderId="1" xfId="40" applyFont="1" applyFill="1" applyBorder="1" applyAlignment="1">
      <alignment horizontal="right" wrapText="1"/>
    </xf>
    <xf numFmtId="0" fontId="36" fillId="2" borderId="1" xfId="40" applyFont="1" applyFill="1" applyBorder="1" applyAlignment="1">
      <alignment horizontal="right" wrapText="1"/>
    </xf>
    <xf numFmtId="0" fontId="30" fillId="23" borderId="41" xfId="40" applyFont="1" applyFill="1" applyBorder="1" applyAlignment="1">
      <alignment horizontal="left" wrapText="1"/>
    </xf>
    <xf numFmtId="0" fontId="30" fillId="23" borderId="42" xfId="40" applyFont="1" applyFill="1" applyBorder="1" applyAlignment="1">
      <alignment horizontal="left" wrapText="1"/>
    </xf>
    <xf numFmtId="0" fontId="38" fillId="23" borderId="19" xfId="40" applyFont="1" applyFill="1" applyBorder="1" applyAlignment="1">
      <alignment horizontal="left" wrapText="1"/>
    </xf>
    <xf numFmtId="3" fontId="5" fillId="2" borderId="18" xfId="40" applyNumberFormat="1" applyFont="1" applyFill="1" applyBorder="1" applyAlignment="1">
      <alignment wrapText="1"/>
    </xf>
    <xf numFmtId="3" fontId="5" fillId="23" borderId="55" xfId="40" applyNumberFormat="1" applyFont="1" applyFill="1" applyBorder="1" applyAlignment="1">
      <alignment wrapText="1"/>
    </xf>
    <xf numFmtId="3" fontId="28" fillId="23" borderId="36" xfId="40" applyNumberFormat="1" applyFont="1" applyFill="1" applyBorder="1" applyAlignment="1">
      <alignment wrapText="1"/>
    </xf>
    <xf numFmtId="3" fontId="27" fillId="0" borderId="22" xfId="40" applyNumberFormat="1" applyFont="1" applyBorder="1" applyAlignment="1"/>
    <xf numFmtId="3" fontId="37" fillId="22" borderId="18" xfId="40" applyNumberFormat="1" applyFont="1" applyFill="1" applyBorder="1" applyAlignment="1">
      <alignment wrapText="1"/>
    </xf>
    <xf numFmtId="3" fontId="36" fillId="2" borderId="18" xfId="40" applyNumberFormat="1" applyFont="1" applyFill="1" applyBorder="1" applyAlignment="1">
      <alignment wrapText="1"/>
    </xf>
    <xf numFmtId="3" fontId="36" fillId="23" borderId="55" xfId="40" applyNumberFormat="1" applyFont="1" applyFill="1" applyBorder="1" applyAlignment="1">
      <alignment wrapText="1"/>
    </xf>
    <xf numFmtId="3" fontId="6" fillId="23" borderId="36" xfId="40" applyNumberFormat="1" applyFont="1" applyFill="1" applyBorder="1" applyAlignment="1">
      <alignment wrapText="1"/>
    </xf>
    <xf numFmtId="3" fontId="27" fillId="0" borderId="58" xfId="40" applyNumberFormat="1" applyFont="1" applyBorder="1" applyAlignment="1"/>
    <xf numFmtId="3" fontId="40" fillId="22" borderId="18" xfId="40" applyNumberFormat="1" applyFont="1" applyFill="1" applyBorder="1" applyAlignment="1">
      <alignment wrapText="1"/>
    </xf>
    <xf numFmtId="3" fontId="6" fillId="2" borderId="18" xfId="40" applyNumberFormat="1" applyFont="1" applyFill="1" applyBorder="1" applyAlignment="1">
      <alignment wrapText="1"/>
    </xf>
    <xf numFmtId="3" fontId="46" fillId="23" borderId="55" xfId="40" applyNumberFormat="1" applyFont="1" applyFill="1" applyBorder="1" applyAlignment="1">
      <alignment wrapText="1"/>
    </xf>
    <xf numFmtId="3" fontId="3" fillId="22" borderId="21" xfId="40" applyNumberFormat="1" applyFont="1" applyFill="1" applyBorder="1" applyAlignment="1">
      <alignment horizontal="right" wrapText="1"/>
    </xf>
    <xf numFmtId="3" fontId="5" fillId="2" borderId="21" xfId="40" applyNumberFormat="1" applyFont="1" applyFill="1" applyBorder="1" applyAlignment="1">
      <alignment wrapText="1"/>
    </xf>
    <xf numFmtId="3" fontId="5" fillId="23" borderId="67" xfId="40" applyNumberFormat="1" applyFont="1" applyFill="1" applyBorder="1" applyAlignment="1">
      <alignment wrapText="1"/>
    </xf>
    <xf numFmtId="3" fontId="5" fillId="23" borderId="64" xfId="40" applyNumberFormat="1" applyFont="1" applyFill="1" applyBorder="1" applyAlignment="1">
      <alignment wrapText="1"/>
    </xf>
    <xf numFmtId="3" fontId="5" fillId="23" borderId="64" xfId="40" applyNumberFormat="1" applyFont="1" applyFill="1" applyBorder="1" applyAlignment="1">
      <alignment horizontal="right" wrapText="1"/>
    </xf>
    <xf numFmtId="3" fontId="3" fillId="2" borderId="21" xfId="40" applyNumberFormat="1" applyFont="1" applyFill="1" applyBorder="1" applyAlignment="1">
      <alignment horizontal="right" wrapText="1"/>
    </xf>
    <xf numFmtId="3" fontId="28" fillId="23" borderId="64" xfId="40" applyNumberFormat="1" applyFont="1" applyFill="1" applyBorder="1" applyAlignment="1">
      <alignment wrapText="1"/>
    </xf>
    <xf numFmtId="3" fontId="3" fillId="2" borderId="21" xfId="40" applyNumberFormat="1" applyFont="1" applyFill="1" applyBorder="1" applyAlignment="1">
      <alignment wrapText="1"/>
    </xf>
    <xf numFmtId="3" fontId="27" fillId="0" borderId="53" xfId="40" applyNumberFormat="1" applyFont="1" applyBorder="1" applyAlignment="1">
      <alignment horizontal="left" indent="1"/>
    </xf>
    <xf numFmtId="3" fontId="37" fillId="22" borderId="21" xfId="40" applyNumberFormat="1" applyFont="1" applyFill="1" applyBorder="1" applyAlignment="1">
      <alignment wrapText="1"/>
    </xf>
    <xf numFmtId="3" fontId="37" fillId="2" borderId="21" xfId="40" applyNumberFormat="1" applyFont="1" applyFill="1" applyBorder="1" applyAlignment="1">
      <alignment wrapText="1"/>
    </xf>
    <xf numFmtId="3" fontId="36" fillId="23" borderId="67" xfId="40" applyNumberFormat="1" applyFont="1" applyFill="1" applyBorder="1" applyAlignment="1">
      <alignment wrapText="1"/>
    </xf>
    <xf numFmtId="3" fontId="37" fillId="2" borderId="21" xfId="40" applyNumberFormat="1" applyFont="1" applyFill="1" applyBorder="1" applyAlignment="1">
      <alignment horizontal="right" wrapText="1"/>
    </xf>
    <xf numFmtId="3" fontId="6" fillId="23" borderId="64" xfId="40" applyNumberFormat="1" applyFont="1" applyFill="1" applyBorder="1" applyAlignment="1">
      <alignment wrapText="1"/>
    </xf>
    <xf numFmtId="3" fontId="36" fillId="2" borderId="21" xfId="40" applyNumberFormat="1" applyFont="1" applyFill="1" applyBorder="1" applyAlignment="1">
      <alignment wrapText="1"/>
    </xf>
    <xf numFmtId="3" fontId="27" fillId="0" borderId="68" xfId="40" applyNumberFormat="1" applyFont="1" applyBorder="1" applyAlignment="1">
      <alignment horizontal="left" indent="1"/>
    </xf>
    <xf numFmtId="3" fontId="40" fillId="22" borderId="21" xfId="40" applyNumberFormat="1" applyFont="1" applyFill="1" applyBorder="1" applyAlignment="1">
      <alignment wrapText="1"/>
    </xf>
    <xf numFmtId="3" fontId="40" fillId="2" borderId="21" xfId="40" applyNumberFormat="1" applyFont="1" applyFill="1" applyBorder="1" applyAlignment="1">
      <alignment wrapText="1"/>
    </xf>
    <xf numFmtId="3" fontId="46" fillId="23" borderId="67" xfId="40" applyNumberFormat="1" applyFont="1" applyFill="1" applyBorder="1" applyAlignment="1">
      <alignment wrapText="1"/>
    </xf>
    <xf numFmtId="3" fontId="3" fillId="22" borderId="48" xfId="40" applyNumberFormat="1" applyFont="1" applyFill="1" applyBorder="1" applyAlignment="1">
      <alignment horizontal="right" wrapText="1"/>
    </xf>
    <xf numFmtId="3" fontId="3" fillId="2" borderId="48" xfId="40" applyNumberFormat="1" applyFont="1" applyFill="1" applyBorder="1" applyAlignment="1">
      <alignment horizontal="right" wrapText="1"/>
    </xf>
    <xf numFmtId="3" fontId="3" fillId="2" borderId="48" xfId="40" applyNumberFormat="1" applyFont="1" applyFill="1" applyBorder="1" applyAlignment="1">
      <alignment wrapText="1"/>
    </xf>
    <xf numFmtId="3" fontId="27" fillId="0" borderId="56" xfId="40" applyNumberFormat="1" applyFont="1" applyBorder="1" applyAlignment="1">
      <alignment horizontal="left" indent="1"/>
    </xf>
    <xf numFmtId="3" fontId="37" fillId="22" borderId="48" xfId="40" applyNumberFormat="1" applyFont="1" applyFill="1" applyBorder="1" applyAlignment="1">
      <alignment wrapText="1"/>
    </xf>
    <xf numFmtId="3" fontId="37" fillId="2" borderId="48" xfId="40" applyNumberFormat="1" applyFont="1" applyFill="1" applyBorder="1" applyAlignment="1">
      <alignment wrapText="1"/>
    </xf>
    <xf numFmtId="3" fontId="36" fillId="23" borderId="51" xfId="40" applyNumberFormat="1" applyFont="1" applyFill="1" applyBorder="1" applyAlignment="1">
      <alignment wrapText="1"/>
    </xf>
    <xf numFmtId="3" fontId="37" fillId="2" borderId="48" xfId="40" applyNumberFormat="1" applyFont="1" applyFill="1" applyBorder="1" applyAlignment="1">
      <alignment horizontal="right" wrapText="1"/>
    </xf>
    <xf numFmtId="3" fontId="36" fillId="2" borderId="48" xfId="40" applyNumberFormat="1" applyFont="1" applyFill="1" applyBorder="1" applyAlignment="1">
      <alignment wrapText="1"/>
    </xf>
    <xf numFmtId="3" fontId="40" fillId="22" borderId="48" xfId="40" applyNumberFormat="1" applyFont="1" applyFill="1" applyBorder="1" applyAlignment="1">
      <alignment wrapText="1"/>
    </xf>
    <xf numFmtId="3" fontId="40" fillId="2" borderId="48" xfId="40" applyNumberFormat="1" applyFont="1" applyFill="1" applyBorder="1" applyAlignment="1">
      <alignment wrapText="1"/>
    </xf>
    <xf numFmtId="3" fontId="46" fillId="23" borderId="51" xfId="40" applyNumberFormat="1" applyFont="1" applyFill="1" applyBorder="1" applyAlignment="1">
      <alignment wrapText="1"/>
    </xf>
    <xf numFmtId="3" fontId="47" fillId="0" borderId="58" xfId="47" applyNumberFormat="1" applyFont="1" applyFill="1" applyBorder="1" applyAlignment="1"/>
    <xf numFmtId="3" fontId="47" fillId="0" borderId="52" xfId="40" applyNumberFormat="1" applyFont="1" applyBorder="1" applyAlignment="1"/>
    <xf numFmtId="3" fontId="47" fillId="0" borderId="68" xfId="40" applyNumberFormat="1" applyFont="1" applyBorder="1" applyAlignment="1"/>
    <xf numFmtId="3" fontId="47" fillId="0" borderId="36" xfId="47" applyNumberFormat="1" applyFont="1" applyFill="1" applyBorder="1" applyAlignment="1"/>
    <xf numFmtId="3" fontId="47" fillId="0" borderId="4" xfId="40" applyNumberFormat="1" applyFont="1" applyFill="1" applyBorder="1" applyAlignment="1"/>
    <xf numFmtId="3" fontId="47" fillId="0" borderId="64" xfId="40" applyNumberFormat="1" applyFont="1" applyFill="1" applyBorder="1" applyAlignment="1"/>
    <xf numFmtId="3" fontId="47" fillId="0" borderId="36" xfId="40" applyNumberFormat="1" applyFont="1" applyBorder="1" applyAlignment="1"/>
    <xf numFmtId="3" fontId="47" fillId="0" borderId="58" xfId="40" applyNumberFormat="1" applyFont="1" applyBorder="1" applyAlignment="1"/>
    <xf numFmtId="3" fontId="47" fillId="0" borderId="52" xfId="40" applyNumberFormat="1" applyFont="1" applyFill="1" applyBorder="1" applyAlignment="1"/>
    <xf numFmtId="3" fontId="47" fillId="0" borderId="68" xfId="40" applyNumberFormat="1" applyFont="1" applyFill="1" applyBorder="1" applyAlignment="1"/>
    <xf numFmtId="3" fontId="47" fillId="0" borderId="64" xfId="40" applyNumberFormat="1" applyFont="1" applyBorder="1" applyAlignment="1"/>
    <xf numFmtId="3" fontId="47" fillId="0" borderId="4" xfId="47" applyNumberFormat="1" applyFont="1" applyFill="1" applyBorder="1" applyAlignment="1"/>
    <xf numFmtId="3" fontId="47" fillId="0" borderId="64" xfId="47" applyNumberFormat="1" applyFont="1" applyFill="1" applyBorder="1" applyAlignment="1"/>
    <xf numFmtId="3" fontId="47" fillId="0" borderId="52" xfId="47" applyNumberFormat="1" applyFont="1" applyFill="1" applyBorder="1" applyAlignment="1"/>
    <xf numFmtId="3" fontId="47" fillId="0" borderId="68" xfId="47" applyNumberFormat="1" applyFont="1" applyFill="1" applyBorder="1" applyAlignment="1"/>
    <xf numFmtId="3" fontId="47" fillId="0" borderId="16" xfId="47" applyNumberFormat="1" applyFont="1" applyFill="1" applyBorder="1" applyAlignment="1"/>
    <xf numFmtId="3" fontId="47" fillId="0" borderId="17" xfId="47" applyNumberFormat="1" applyFont="1" applyFill="1" applyBorder="1" applyAlignment="1"/>
    <xf numFmtId="3" fontId="47" fillId="0" borderId="16" xfId="40" applyNumberFormat="1" applyFont="1" applyBorder="1" applyAlignment="1"/>
    <xf numFmtId="3" fontId="47" fillId="0" borderId="17" xfId="40" applyNumberFormat="1" applyFont="1" applyBorder="1" applyAlignment="1"/>
    <xf numFmtId="0" fontId="58" fillId="2" borderId="1" xfId="40" applyFont="1" applyFill="1" applyBorder="1" applyAlignment="1"/>
    <xf numFmtId="0" fontId="28" fillId="0" borderId="69" xfId="40" applyFont="1" applyBorder="1" applyAlignment="1">
      <alignment horizontal="center" vertical="center" wrapText="1"/>
    </xf>
    <xf numFmtId="0" fontId="28" fillId="0" borderId="70" xfId="40" applyFont="1" applyBorder="1" applyAlignment="1">
      <alignment horizontal="center" vertical="center" wrapText="1"/>
    </xf>
    <xf numFmtId="0" fontId="3" fillId="0" borderId="50" xfId="40" applyFont="1" applyBorder="1" applyAlignment="1">
      <alignment horizontal="center" vertical="center" wrapText="1"/>
    </xf>
    <xf numFmtId="0" fontId="3" fillId="0" borderId="29" xfId="40" applyFont="1" applyBorder="1" applyAlignment="1">
      <alignment horizontal="center" vertical="center" wrapText="1"/>
    </xf>
    <xf numFmtId="3" fontId="42" fillId="0" borderId="29" xfId="40" applyNumberFormat="1" applyFont="1" applyBorder="1" applyAlignment="1">
      <alignment horizontal="center" vertical="center" wrapText="1"/>
    </xf>
    <xf numFmtId="0" fontId="42" fillId="2" borderId="29" xfId="40" applyFont="1" applyFill="1" applyBorder="1" applyAlignment="1">
      <alignment horizontal="center" vertical="center" wrapText="1"/>
    </xf>
    <xf numFmtId="0" fontId="43" fillId="0" borderId="29" xfId="40" applyFont="1" applyBorder="1" applyAlignment="1">
      <alignment horizontal="center" vertical="center" wrapText="1"/>
    </xf>
    <xf numFmtId="3" fontId="43" fillId="0" borderId="30" xfId="40" applyNumberFormat="1" applyFont="1" applyBorder="1" applyAlignment="1">
      <alignment horizontal="center" vertical="center"/>
    </xf>
    <xf numFmtId="0" fontId="43" fillId="0" borderId="49" xfId="40" applyFont="1" applyBorder="1" applyAlignment="1">
      <alignment horizontal="center" vertical="center"/>
    </xf>
    <xf numFmtId="0" fontId="43" fillId="0" borderId="71" xfId="40" applyFont="1" applyBorder="1" applyAlignment="1">
      <alignment horizontal="center" vertical="center"/>
    </xf>
    <xf numFmtId="0" fontId="3" fillId="0" borderId="0" xfId="46" applyNumberFormat="1" applyFont="1" applyFill="1" applyBorder="1" applyAlignment="1" applyProtection="1">
      <alignment vertical="center"/>
    </xf>
    <xf numFmtId="3" fontId="42" fillId="2" borderId="1" xfId="40" applyNumberFormat="1" applyFont="1" applyFill="1" applyBorder="1" applyAlignment="1"/>
    <xf numFmtId="4" fontId="59" fillId="0" borderId="4" xfId="2" applyNumberFormat="1" applyFont="1" applyFill="1" applyBorder="1" applyAlignment="1" applyProtection="1"/>
    <xf numFmtId="4" fontId="48" fillId="0" borderId="4" xfId="2" applyNumberFormat="1" applyFont="1" applyFill="1" applyBorder="1" applyAlignment="1" applyProtection="1"/>
    <xf numFmtId="4" fontId="59" fillId="0" borderId="4" xfId="1" applyNumberFormat="1" applyFont="1" applyFill="1" applyBorder="1" applyAlignment="1" applyProtection="1"/>
    <xf numFmtId="4" fontId="9" fillId="0" borderId="4" xfId="1" applyNumberFormat="1" applyFont="1" applyFill="1" applyBorder="1" applyAlignment="1" applyProtection="1"/>
    <xf numFmtId="4" fontId="9" fillId="0" borderId="4" xfId="2" applyNumberFormat="1" applyFont="1" applyFill="1" applyBorder="1" applyAlignment="1" applyProtection="1"/>
    <xf numFmtId="4" fontId="46" fillId="0" borderId="0" xfId="1" applyNumberFormat="1" applyFont="1" applyFill="1" applyBorder="1" applyAlignment="1" applyProtection="1"/>
    <xf numFmtId="4" fontId="46" fillId="0" borderId="0" xfId="2" applyNumberFormat="1" applyFont="1" applyFill="1" applyBorder="1" applyAlignment="1" applyProtection="1"/>
    <xf numFmtId="4" fontId="46" fillId="0" borderId="49" xfId="1" applyNumberFormat="1" applyFont="1" applyFill="1" applyBorder="1" applyAlignment="1" applyProtection="1"/>
    <xf numFmtId="4" fontId="46" fillId="0" borderId="4" xfId="1" applyNumberFormat="1" applyFont="1" applyFill="1" applyBorder="1" applyAlignment="1" applyProtection="1"/>
    <xf numFmtId="3" fontId="46" fillId="0" borderId="4" xfId="1" applyNumberFormat="1" applyFont="1" applyFill="1" applyBorder="1" applyAlignment="1" applyProtection="1"/>
    <xf numFmtId="0" fontId="5" fillId="26" borderId="72" xfId="1" applyNumberFormat="1" applyFont="1" applyFill="1" applyBorder="1" applyAlignment="1" applyProtection="1">
      <alignment horizontal="center" vertical="center" wrapText="1"/>
    </xf>
    <xf numFmtId="0" fontId="51" fillId="26" borderId="73" xfId="1" applyNumberFormat="1" applyFont="1" applyFill="1" applyBorder="1" applyAlignment="1" applyProtection="1">
      <alignment horizontal="center" vertical="center" wrapText="1"/>
    </xf>
    <xf numFmtId="0" fontId="48" fillId="0" borderId="18" xfId="46" applyFont="1" applyFill="1" applyBorder="1" applyAlignment="1">
      <alignment horizontal="center" vertical="center" wrapText="1"/>
    </xf>
    <xf numFmtId="0" fontId="8" fillId="0" borderId="23" xfId="46" applyFont="1" applyBorder="1" applyAlignment="1">
      <alignment horizontal="center" vertical="center" wrapText="1"/>
    </xf>
    <xf numFmtId="0" fontId="8" fillId="0" borderId="15" xfId="46" applyFont="1" applyBorder="1" applyAlignment="1">
      <alignment horizontal="center" vertical="center" wrapText="1"/>
    </xf>
    <xf numFmtId="0" fontId="8" fillId="0" borderId="24" xfId="46" applyFont="1" applyBorder="1" applyAlignment="1">
      <alignment horizontal="center" vertical="center" wrapText="1"/>
    </xf>
    <xf numFmtId="0" fontId="8" fillId="0" borderId="59" xfId="46" applyFont="1" applyBorder="1" applyAlignment="1">
      <alignment horizontal="center" vertical="center" wrapText="1"/>
    </xf>
    <xf numFmtId="0" fontId="6" fillId="0" borderId="1" xfId="46" applyNumberFormat="1" applyFont="1" applyFill="1" applyBorder="1" applyAlignment="1" applyProtection="1">
      <alignment horizontal="center" vertical="center" wrapText="1"/>
    </xf>
    <xf numFmtId="0" fontId="3" fillId="0" borderId="18" xfId="46" applyNumberFormat="1" applyFont="1" applyFill="1" applyBorder="1" applyAlignment="1" applyProtection="1">
      <alignment horizontal="center" vertical="center"/>
    </xf>
    <xf numFmtId="0" fontId="3" fillId="0" borderId="2" xfId="46" applyNumberFormat="1" applyFont="1" applyFill="1" applyBorder="1" applyAlignment="1" applyProtection="1">
      <alignment horizontal="center" vertical="center"/>
    </xf>
    <xf numFmtId="0" fontId="3" fillId="0" borderId="21" xfId="46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51" fillId="26" borderId="3" xfId="1" applyNumberFormat="1" applyFont="1" applyFill="1" applyBorder="1" applyAlignment="1" applyProtection="1">
      <alignment horizontal="center" vertical="center" wrapText="1"/>
    </xf>
    <xf numFmtId="0" fontId="51" fillId="26" borderId="54" xfId="1" applyNumberFormat="1" applyFont="1" applyFill="1" applyBorder="1" applyAlignment="1" applyProtection="1">
      <alignment horizontal="center" vertical="center" wrapText="1"/>
    </xf>
    <xf numFmtId="0" fontId="48" fillId="0" borderId="20" xfId="46" applyFont="1" applyFill="1" applyBorder="1" applyAlignment="1">
      <alignment horizontal="center" vertical="center" wrapText="1"/>
    </xf>
    <xf numFmtId="0" fontId="48" fillId="0" borderId="29" xfId="46" applyFont="1" applyFill="1" applyBorder="1" applyAlignment="1">
      <alignment horizontal="center" vertical="center" wrapText="1"/>
    </xf>
    <xf numFmtId="0" fontId="8" fillId="0" borderId="18" xfId="46" applyFont="1" applyFill="1" applyBorder="1" applyAlignment="1">
      <alignment horizontal="center" vertical="center"/>
    </xf>
    <xf numFmtId="0" fontId="8" fillId="0" borderId="2" xfId="46" applyFont="1" applyFill="1" applyBorder="1" applyAlignment="1">
      <alignment horizontal="center" vertical="center"/>
    </xf>
    <xf numFmtId="0" fontId="8" fillId="0" borderId="21" xfId="46" applyFont="1" applyFill="1" applyBorder="1" applyAlignment="1">
      <alignment horizontal="center" vertical="center"/>
    </xf>
  </cellXfs>
  <cellStyles count="5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 2" xfId="39"/>
    <cellStyle name="Normalno 2" xfId="40"/>
    <cellStyle name="Note" xfId="41"/>
    <cellStyle name="Obično" xfId="0" builtinId="0"/>
    <cellStyle name="Obično 2" xfId="1"/>
    <cellStyle name="Obično 3" xfId="46"/>
    <cellStyle name="Obično 3 2" xfId="48"/>
    <cellStyle name="Obično 3 3" xfId="49"/>
    <cellStyle name="Output" xfId="42"/>
    <cellStyle name="Title" xfId="43"/>
    <cellStyle name="Total" xfId="44"/>
    <cellStyle name="Warning Text" xfId="45"/>
    <cellStyle name="Zarez 2" xfId="2"/>
    <cellStyle name="Zarez 2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209550</xdr:colOff>
      <xdr:row>29</xdr:row>
      <xdr:rowOff>57150</xdr:rowOff>
    </xdr:from>
    <xdr:ext cx="184731" cy="264560"/>
    <xdr:sp macro="" textlink="">
      <xdr:nvSpPr>
        <xdr:cNvPr id="6" name="TekstniOkvir 5"/>
        <xdr:cNvSpPr txBox="1"/>
      </xdr:nvSpPr>
      <xdr:spPr>
        <a:xfrm>
          <a:off x="77628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0</xdr:col>
      <xdr:colOff>9524</xdr:colOff>
      <xdr:row>3</xdr:row>
      <xdr:rowOff>9525</xdr:rowOff>
    </xdr:from>
    <xdr:to>
      <xdr:col>0</xdr:col>
      <xdr:colOff>1181099</xdr:colOff>
      <xdr:row>4</xdr:row>
      <xdr:rowOff>1104900</xdr:rowOff>
    </xdr:to>
    <xdr:cxnSp macro="">
      <xdr:nvCxnSpPr>
        <xdr:cNvPr id="8" name="Ravni poveznik 7"/>
        <xdr:cNvCxnSpPr/>
      </xdr:nvCxnSpPr>
      <xdr:spPr>
        <a:xfrm rot="16200000" flipH="1">
          <a:off x="-119063" y="671512"/>
          <a:ext cx="1428750" cy="1171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5"/>
  <sheetViews>
    <sheetView tabSelected="1" topLeftCell="B1" workbookViewId="0">
      <selection activeCell="L4" sqref="L4"/>
    </sheetView>
  </sheetViews>
  <sheetFormatPr defaultColWidth="9.140625" defaultRowHeight="15.75"/>
  <cols>
    <col min="1" max="1" width="0" style="47" hidden="1" customWidth="1"/>
    <col min="2" max="2" width="8.28515625" style="47" customWidth="1"/>
    <col min="3" max="3" width="25.5703125" style="63" customWidth="1"/>
    <col min="4" max="4" width="14.7109375" style="64" customWidth="1"/>
    <col min="5" max="5" width="13.5703125" style="64" bestFit="1" customWidth="1"/>
    <col min="6" max="6" width="12.140625" style="34" customWidth="1"/>
    <col min="7" max="7" width="15" style="34" bestFit="1" customWidth="1"/>
    <col min="8" max="8" width="11.42578125" style="34" bestFit="1" customWidth="1"/>
    <col min="9" max="9" width="12.7109375" style="34" bestFit="1" customWidth="1"/>
    <col min="10" max="11" width="11.42578125" style="47" bestFit="1" customWidth="1"/>
    <col min="12" max="16384" width="9.140625" style="47"/>
  </cols>
  <sheetData>
    <row r="1" spans="1:12" ht="21.95" customHeight="1" thickBot="1">
      <c r="B1" s="15" t="s">
        <v>262</v>
      </c>
      <c r="C1" s="15"/>
      <c r="D1" s="15"/>
      <c r="E1" s="15"/>
      <c r="F1" s="15"/>
      <c r="G1" s="16"/>
      <c r="H1" s="1"/>
      <c r="I1" s="1"/>
      <c r="J1" s="1"/>
      <c r="K1" s="1"/>
      <c r="L1" s="1"/>
    </row>
    <row r="2" spans="1:12" ht="21.95" customHeight="1" thickBot="1">
      <c r="B2" s="335" t="s">
        <v>254</v>
      </c>
      <c r="C2" s="336"/>
      <c r="D2" s="336"/>
      <c r="E2" s="336"/>
      <c r="F2" s="336"/>
      <c r="G2" s="336"/>
      <c r="H2" s="336"/>
      <c r="I2" s="336"/>
      <c r="J2" s="336"/>
      <c r="K2" s="337"/>
      <c r="L2" s="315"/>
    </row>
    <row r="3" spans="1:12" ht="60.75" thickBot="1">
      <c r="A3" s="47" t="s">
        <v>53</v>
      </c>
      <c r="B3" s="305" t="s">
        <v>166</v>
      </c>
      <c r="C3" s="306" t="s">
        <v>0</v>
      </c>
      <c r="D3" s="307" t="s">
        <v>148</v>
      </c>
      <c r="E3" s="308" t="s">
        <v>267</v>
      </c>
      <c r="F3" s="309" t="s">
        <v>263</v>
      </c>
      <c r="G3" s="310" t="s">
        <v>264</v>
      </c>
      <c r="H3" s="311" t="s">
        <v>268</v>
      </c>
      <c r="I3" s="312" t="s">
        <v>175</v>
      </c>
      <c r="J3" s="313" t="s">
        <v>176</v>
      </c>
      <c r="K3" s="314" t="s">
        <v>177</v>
      </c>
    </row>
    <row r="4" spans="1:12" ht="27" customHeight="1" thickBot="1">
      <c r="A4" s="47">
        <f>LEN(B4)</f>
        <v>1</v>
      </c>
      <c r="B4" s="185" t="s">
        <v>54</v>
      </c>
      <c r="C4" s="186" t="s">
        <v>55</v>
      </c>
      <c r="D4" s="187">
        <f>D5+D15+D48+D56</f>
        <v>70484000</v>
      </c>
      <c r="E4" s="187">
        <f>E5+E15+E48+E56</f>
        <v>72594016.699999988</v>
      </c>
      <c r="F4" s="188">
        <f>F5+F15+F48+F56</f>
        <v>-9228223.6999999993</v>
      </c>
      <c r="G4" s="188">
        <f>G5+G15+G48+G56</f>
        <v>63365793</v>
      </c>
      <c r="H4" s="188">
        <f>G4/E4*100</f>
        <v>87.287900409015407</v>
      </c>
      <c r="I4" s="189">
        <f>I5+I15+I48+I56</f>
        <v>53462446.700000003</v>
      </c>
      <c r="J4" s="273">
        <f>J5+J15+J48+J56</f>
        <v>8960000</v>
      </c>
      <c r="K4" s="254">
        <f>K5+K15+K48+K56</f>
        <v>943346</v>
      </c>
    </row>
    <row r="5" spans="1:12" ht="16.5" thickBot="1">
      <c r="A5" s="47">
        <f t="shared" ref="A5:A57" si="0">LEN(B5)</f>
        <v>2</v>
      </c>
      <c r="B5" s="234" t="s">
        <v>56</v>
      </c>
      <c r="C5" s="181" t="s">
        <v>57</v>
      </c>
      <c r="D5" s="205">
        <f>D6+D10+D12</f>
        <v>37660000</v>
      </c>
      <c r="E5" s="205">
        <f>E6+E10+E12</f>
        <v>37734526.129999995</v>
      </c>
      <c r="F5" s="183">
        <f t="shared" ref="F5" si="1">F6+F10+F12</f>
        <v>7773.8700000010431</v>
      </c>
      <c r="G5" s="184">
        <f>G6+G10+G12</f>
        <v>37742300</v>
      </c>
      <c r="H5" s="184">
        <f>G5/E5*100</f>
        <v>100.02060147773746</v>
      </c>
      <c r="I5" s="242">
        <f t="shared" ref="I5:K5" si="2">I6+I10+I12</f>
        <v>32245199.699999999</v>
      </c>
      <c r="J5" s="206">
        <f t="shared" si="2"/>
        <v>5497100</v>
      </c>
      <c r="K5" s="255">
        <f t="shared" si="2"/>
        <v>0</v>
      </c>
    </row>
    <row r="6" spans="1:12">
      <c r="A6" s="47">
        <f t="shared" si="0"/>
        <v>3</v>
      </c>
      <c r="B6" s="170" t="s">
        <v>58</v>
      </c>
      <c r="C6" s="202" t="s">
        <v>59</v>
      </c>
      <c r="D6" s="203">
        <f t="shared" ref="D6:E6" si="3">SUM(D7:D9)</f>
        <v>31460000</v>
      </c>
      <c r="E6" s="203">
        <f t="shared" si="3"/>
        <v>31534526.129999999</v>
      </c>
      <c r="F6" s="173">
        <f>SUM(F7:F9)</f>
        <v>-254526.12999999896</v>
      </c>
      <c r="G6" s="174">
        <f t="shared" ref="G6" si="4">SUM(G7:G9)</f>
        <v>31280000</v>
      </c>
      <c r="H6" s="174">
        <f>G6/E6*100</f>
        <v>99.192865213985698</v>
      </c>
      <c r="I6" s="243">
        <f>SUM(I7:I9)</f>
        <v>26787200</v>
      </c>
      <c r="J6" s="204">
        <f t="shared" ref="J6:K6" si="5">SUM(J7:J9)</f>
        <v>4492800</v>
      </c>
      <c r="K6" s="256">
        <f t="shared" si="5"/>
        <v>0</v>
      </c>
    </row>
    <row r="7" spans="1:12" ht="15">
      <c r="A7" s="47">
        <f t="shared" si="0"/>
        <v>4</v>
      </c>
      <c r="B7" s="49" t="s">
        <v>60</v>
      </c>
      <c r="C7" s="50" t="s">
        <v>1</v>
      </c>
      <c r="D7" s="18">
        <v>27000000</v>
      </c>
      <c r="E7" s="27">
        <f>27000000+74526.13</f>
        <v>27074526.129999999</v>
      </c>
      <c r="F7" s="163">
        <f>G7-E7</f>
        <v>-14526.129999998957</v>
      </c>
      <c r="G7" s="164">
        <v>27060000</v>
      </c>
      <c r="H7" s="300">
        <f>G7/E7*100</f>
        <v>99.946347611292424</v>
      </c>
      <c r="I7" s="288">
        <f>21764673.87+74526.13+1150000</f>
        <v>22989200</v>
      </c>
      <c r="J7" s="296">
        <f>4870800-800000</f>
        <v>4070800</v>
      </c>
      <c r="K7" s="297"/>
    </row>
    <row r="8" spans="1:12" ht="15">
      <c r="A8" s="47">
        <f t="shared" si="0"/>
        <v>4</v>
      </c>
      <c r="B8" s="49" t="s">
        <v>61</v>
      </c>
      <c r="C8" s="50" t="s">
        <v>23</v>
      </c>
      <c r="D8" s="18">
        <v>960000</v>
      </c>
      <c r="E8" s="18">
        <v>960000</v>
      </c>
      <c r="F8" s="163">
        <f>G8-E8</f>
        <v>100000</v>
      </c>
      <c r="G8" s="164">
        <v>1060000</v>
      </c>
      <c r="H8" s="300">
        <f t="shared" ref="H8:H9" si="6">G8/E8*100</f>
        <v>110.41666666666667</v>
      </c>
      <c r="I8" s="288">
        <v>954000</v>
      </c>
      <c r="J8" s="296">
        <v>106000</v>
      </c>
      <c r="K8" s="297"/>
    </row>
    <row r="9" spans="1:12" ht="15">
      <c r="A9" s="47">
        <f t="shared" si="0"/>
        <v>4</v>
      </c>
      <c r="B9" s="49" t="s">
        <v>62</v>
      </c>
      <c r="C9" s="50" t="s">
        <v>24</v>
      </c>
      <c r="D9" s="18">
        <v>3500000</v>
      </c>
      <c r="E9" s="18">
        <v>3500000</v>
      </c>
      <c r="F9" s="163">
        <f>G9-E9</f>
        <v>-340000</v>
      </c>
      <c r="G9" s="164">
        <v>3160000</v>
      </c>
      <c r="H9" s="300">
        <f t="shared" si="6"/>
        <v>90.285714285714278</v>
      </c>
      <c r="I9" s="288">
        <f>2719000+125000</f>
        <v>2844000</v>
      </c>
      <c r="J9" s="296">
        <v>316000</v>
      </c>
      <c r="K9" s="297"/>
    </row>
    <row r="10" spans="1:12">
      <c r="A10" s="47">
        <f t="shared" si="0"/>
        <v>3</v>
      </c>
      <c r="B10" s="51">
        <v>312</v>
      </c>
      <c r="C10" s="48" t="s">
        <v>2</v>
      </c>
      <c r="D10" s="17">
        <f t="shared" ref="D10:K10" si="7">SUM(D11)</f>
        <v>1300000</v>
      </c>
      <c r="E10" s="17">
        <f t="shared" si="7"/>
        <v>1300000</v>
      </c>
      <c r="F10" s="161">
        <f t="shared" si="7"/>
        <v>0</v>
      </c>
      <c r="G10" s="162">
        <f t="shared" si="7"/>
        <v>1300000</v>
      </c>
      <c r="H10" s="162">
        <f>G10/E10*100</f>
        <v>100</v>
      </c>
      <c r="I10" s="36">
        <f t="shared" si="7"/>
        <v>1040000</v>
      </c>
      <c r="J10" s="37">
        <f t="shared" si="7"/>
        <v>260000</v>
      </c>
      <c r="K10" s="257">
        <f t="shared" si="7"/>
        <v>0</v>
      </c>
    </row>
    <row r="11" spans="1:12" ht="15">
      <c r="A11" s="47">
        <f t="shared" si="0"/>
        <v>4</v>
      </c>
      <c r="B11" s="49" t="s">
        <v>63</v>
      </c>
      <c r="C11" s="50" t="s">
        <v>2</v>
      </c>
      <c r="D11" s="19">
        <v>1300000</v>
      </c>
      <c r="E11" s="19">
        <v>1300000</v>
      </c>
      <c r="F11" s="163">
        <f>G11-E11</f>
        <v>0</v>
      </c>
      <c r="G11" s="164">
        <v>1300000</v>
      </c>
      <c r="H11" s="300">
        <f>G11/E11*100</f>
        <v>100</v>
      </c>
      <c r="I11" s="288">
        <f>1010000+30000</f>
        <v>1040000</v>
      </c>
      <c r="J11" s="296">
        <v>260000</v>
      </c>
      <c r="K11" s="297"/>
    </row>
    <row r="12" spans="1:12">
      <c r="A12" s="47">
        <f t="shared" si="0"/>
        <v>3</v>
      </c>
      <c r="B12" s="51">
        <v>313</v>
      </c>
      <c r="C12" s="48" t="s">
        <v>64</v>
      </c>
      <c r="D12" s="17">
        <f>SUM(D13:D13)</f>
        <v>4900000</v>
      </c>
      <c r="E12" s="17">
        <f>SUM(E13:E13)</f>
        <v>4900000</v>
      </c>
      <c r="F12" s="166">
        <f t="shared" ref="F12:G12" si="8">SUM(F13:F14)</f>
        <v>262300</v>
      </c>
      <c r="G12" s="167">
        <f t="shared" si="8"/>
        <v>5162300</v>
      </c>
      <c r="H12" s="167">
        <f>G12/E12*100</f>
        <v>105.35306122448979</v>
      </c>
      <c r="I12" s="35">
        <f t="shared" ref="I12:K12" si="9">SUM(I13:I14)</f>
        <v>4417999.7</v>
      </c>
      <c r="J12" s="52">
        <f t="shared" si="9"/>
        <v>744300</v>
      </c>
      <c r="K12" s="258">
        <f t="shared" si="9"/>
        <v>0</v>
      </c>
    </row>
    <row r="13" spans="1:12" ht="22.5">
      <c r="A13" s="47">
        <f t="shared" si="0"/>
        <v>4</v>
      </c>
      <c r="B13" s="49" t="s">
        <v>65</v>
      </c>
      <c r="C13" s="50" t="s">
        <v>3</v>
      </c>
      <c r="D13" s="19">
        <v>4900000</v>
      </c>
      <c r="E13" s="19">
        <v>4900000</v>
      </c>
      <c r="F13" s="163">
        <f>G13-E13</f>
        <v>262000</v>
      </c>
      <c r="G13" s="164">
        <v>5162000</v>
      </c>
      <c r="H13" s="300">
        <f>G13/E13*100</f>
        <v>105.3469387755102</v>
      </c>
      <c r="I13" s="288">
        <f>4207700+210000</f>
        <v>4417700</v>
      </c>
      <c r="J13" s="296">
        <v>744300</v>
      </c>
      <c r="K13" s="297"/>
    </row>
    <row r="14" spans="1:12" thickBot="1">
      <c r="B14" s="54">
        <v>3133</v>
      </c>
      <c r="C14" s="55" t="s">
        <v>159</v>
      </c>
      <c r="D14" s="180"/>
      <c r="E14" s="180"/>
      <c r="F14" s="177">
        <f>G14-E14</f>
        <v>300</v>
      </c>
      <c r="G14" s="178">
        <v>300</v>
      </c>
      <c r="H14" s="300"/>
      <c r="I14" s="285">
        <v>299.7</v>
      </c>
      <c r="J14" s="298"/>
      <c r="K14" s="299"/>
    </row>
    <row r="15" spans="1:12" ht="16.5" thickBot="1">
      <c r="A15" s="47">
        <f t="shared" si="0"/>
        <v>2</v>
      </c>
      <c r="B15" s="234" t="s">
        <v>66</v>
      </c>
      <c r="C15" s="181" t="s">
        <v>67</v>
      </c>
      <c r="D15" s="205">
        <f t="shared" ref="D15:J15" si="10">D16+D21+D28+D38+D40</f>
        <v>32511000</v>
      </c>
      <c r="E15" s="205">
        <f t="shared" si="10"/>
        <v>34546490.57</v>
      </c>
      <c r="F15" s="207">
        <f t="shared" si="10"/>
        <v>-9153497.5700000003</v>
      </c>
      <c r="G15" s="208">
        <f t="shared" si="10"/>
        <v>25392993</v>
      </c>
      <c r="H15" s="208">
        <f t="shared" ref="H15:H22" si="11">G15/E15*100</f>
        <v>73.503827975079901</v>
      </c>
      <c r="I15" s="209">
        <f t="shared" si="10"/>
        <v>21122247</v>
      </c>
      <c r="J15" s="274">
        <f t="shared" si="10"/>
        <v>3327400</v>
      </c>
      <c r="K15" s="259">
        <f>K16+K21+K28+K38+K40</f>
        <v>943346</v>
      </c>
    </row>
    <row r="16" spans="1:12" ht="24.75">
      <c r="A16" s="47">
        <f t="shared" si="0"/>
        <v>3</v>
      </c>
      <c r="B16" s="170" t="s">
        <v>68</v>
      </c>
      <c r="C16" s="202" t="s">
        <v>69</v>
      </c>
      <c r="D16" s="172">
        <f t="shared" ref="D16:E16" si="12">SUM(D17:D20)</f>
        <v>1440000</v>
      </c>
      <c r="E16" s="172">
        <f t="shared" si="12"/>
        <v>1440000</v>
      </c>
      <c r="F16" s="173">
        <f>SUM(F17:F20)</f>
        <v>-240000</v>
      </c>
      <c r="G16" s="174">
        <f t="shared" ref="G16" si="13">SUM(G17:G20)</f>
        <v>1200000</v>
      </c>
      <c r="H16" s="174">
        <f t="shared" si="11"/>
        <v>83.333333333333343</v>
      </c>
      <c r="I16" s="243">
        <f>SUM(I17:I20)</f>
        <v>962000</v>
      </c>
      <c r="J16" s="204">
        <f t="shared" ref="J16:K16" si="14">SUM(J17:J20)</f>
        <v>238000</v>
      </c>
      <c r="K16" s="256">
        <f t="shared" si="14"/>
        <v>0</v>
      </c>
    </row>
    <row r="17" spans="1:11" ht="15">
      <c r="A17" s="47">
        <f t="shared" si="0"/>
        <v>4</v>
      </c>
      <c r="B17" s="49" t="s">
        <v>70</v>
      </c>
      <c r="C17" s="50" t="s">
        <v>4</v>
      </c>
      <c r="D17" s="19">
        <v>180000</v>
      </c>
      <c r="E17" s="19">
        <v>180000</v>
      </c>
      <c r="F17" s="163">
        <f>G17-E17</f>
        <v>-90000</v>
      </c>
      <c r="G17" s="164">
        <v>90000</v>
      </c>
      <c r="H17" s="300">
        <f t="shared" si="11"/>
        <v>50</v>
      </c>
      <c r="I17" s="288">
        <f>52000+20000</f>
        <v>72000</v>
      </c>
      <c r="J17" s="296">
        <v>18000</v>
      </c>
      <c r="K17" s="297"/>
    </row>
    <row r="18" spans="1:11" ht="22.5">
      <c r="A18" s="47">
        <f t="shared" si="0"/>
        <v>4</v>
      </c>
      <c r="B18" s="49" t="s">
        <v>71</v>
      </c>
      <c r="C18" s="50" t="s">
        <v>167</v>
      </c>
      <c r="D18" s="19">
        <v>1000000</v>
      </c>
      <c r="E18" s="19">
        <v>1000000</v>
      </c>
      <c r="F18" s="163">
        <f>G18-E18</f>
        <v>-80000</v>
      </c>
      <c r="G18" s="164">
        <v>920000</v>
      </c>
      <c r="H18" s="300">
        <f t="shared" si="11"/>
        <v>92</v>
      </c>
      <c r="I18" s="288">
        <f>666000+70000</f>
        <v>736000</v>
      </c>
      <c r="J18" s="296">
        <v>184000</v>
      </c>
      <c r="K18" s="297"/>
    </row>
    <row r="19" spans="1:11" ht="15">
      <c r="A19" s="47">
        <f t="shared" si="0"/>
        <v>4</v>
      </c>
      <c r="B19" s="49" t="s">
        <v>72</v>
      </c>
      <c r="C19" s="50" t="s">
        <v>5</v>
      </c>
      <c r="D19" s="19">
        <v>250000</v>
      </c>
      <c r="E19" s="19">
        <v>250000</v>
      </c>
      <c r="F19" s="163">
        <f>G19-E19</f>
        <v>-70000</v>
      </c>
      <c r="G19" s="164">
        <v>180000</v>
      </c>
      <c r="H19" s="300">
        <f t="shared" si="11"/>
        <v>72</v>
      </c>
      <c r="I19" s="288">
        <f>94000+50000</f>
        <v>144000</v>
      </c>
      <c r="J19" s="296">
        <v>36000</v>
      </c>
      <c r="K19" s="297"/>
    </row>
    <row r="20" spans="1:11" ht="22.5">
      <c r="A20" s="47">
        <f t="shared" si="0"/>
        <v>4</v>
      </c>
      <c r="B20" s="49" t="s">
        <v>73</v>
      </c>
      <c r="C20" s="50" t="s">
        <v>6</v>
      </c>
      <c r="D20" s="19">
        <v>10000</v>
      </c>
      <c r="E20" s="19">
        <v>10000</v>
      </c>
      <c r="F20" s="163">
        <f>G20-E20</f>
        <v>0</v>
      </c>
      <c r="G20" s="164">
        <v>10000</v>
      </c>
      <c r="H20" s="300">
        <f t="shared" si="11"/>
        <v>100</v>
      </c>
      <c r="I20" s="288">
        <v>10000</v>
      </c>
      <c r="J20" s="296"/>
      <c r="K20" s="297"/>
    </row>
    <row r="21" spans="1:11" ht="24.75">
      <c r="A21" s="47">
        <f t="shared" si="0"/>
        <v>3</v>
      </c>
      <c r="B21" s="51" t="s">
        <v>74</v>
      </c>
      <c r="C21" s="48" t="s">
        <v>75</v>
      </c>
      <c r="D21" s="20">
        <f t="shared" ref="D21:K21" si="15">SUM(D22:D27)</f>
        <v>23000000</v>
      </c>
      <c r="E21" s="20">
        <f t="shared" si="15"/>
        <v>23020000</v>
      </c>
      <c r="F21" s="161">
        <f t="shared" si="15"/>
        <v>-6450000</v>
      </c>
      <c r="G21" s="162">
        <f t="shared" si="15"/>
        <v>16570000</v>
      </c>
      <c r="H21" s="162">
        <f t="shared" si="11"/>
        <v>71.980886185925286</v>
      </c>
      <c r="I21" s="36">
        <f t="shared" si="15"/>
        <v>14597300</v>
      </c>
      <c r="J21" s="37">
        <f t="shared" si="15"/>
        <v>1972700</v>
      </c>
      <c r="K21" s="257">
        <f t="shared" si="15"/>
        <v>0</v>
      </c>
    </row>
    <row r="22" spans="1:11" ht="22.5">
      <c r="A22" s="47">
        <f t="shared" si="0"/>
        <v>4</v>
      </c>
      <c r="B22" s="49" t="s">
        <v>76</v>
      </c>
      <c r="C22" s="50" t="s">
        <v>165</v>
      </c>
      <c r="D22" s="18">
        <v>700000</v>
      </c>
      <c r="E22" s="18">
        <v>700000</v>
      </c>
      <c r="F22" s="163">
        <f t="shared" ref="F22:F27" si="16">G22-E22</f>
        <v>-100000</v>
      </c>
      <c r="G22" s="164">
        <v>600000</v>
      </c>
      <c r="H22" s="300">
        <f t="shared" si="11"/>
        <v>85.714285714285708</v>
      </c>
      <c r="I22" s="288">
        <v>480000</v>
      </c>
      <c r="J22" s="296">
        <v>120000</v>
      </c>
      <c r="K22" s="297"/>
    </row>
    <row r="23" spans="1:11" ht="15">
      <c r="A23" s="47">
        <f t="shared" si="0"/>
        <v>4</v>
      </c>
      <c r="B23" s="49" t="s">
        <v>77</v>
      </c>
      <c r="C23" s="50" t="s">
        <v>7</v>
      </c>
      <c r="D23" s="18">
        <v>19000000</v>
      </c>
      <c r="E23" s="18">
        <v>19000000</v>
      </c>
      <c r="F23" s="163">
        <f t="shared" si="16"/>
        <v>-5790000</v>
      </c>
      <c r="G23" s="164">
        <v>13210000</v>
      </c>
      <c r="H23" s="300">
        <f t="shared" ref="H23:H27" si="17">G23/E23*100</f>
        <v>69.526315789473685</v>
      </c>
      <c r="I23" s="288">
        <v>11929300</v>
      </c>
      <c r="J23" s="296">
        <v>1280700</v>
      </c>
      <c r="K23" s="297"/>
    </row>
    <row r="24" spans="1:11" ht="15">
      <c r="A24" s="47">
        <f t="shared" si="0"/>
        <v>4</v>
      </c>
      <c r="B24" s="49" t="s">
        <v>78</v>
      </c>
      <c r="C24" s="50" t="s">
        <v>8</v>
      </c>
      <c r="D24" s="18">
        <v>2700000</v>
      </c>
      <c r="E24" s="18">
        <v>2700000</v>
      </c>
      <c r="F24" s="163">
        <f t="shared" si="16"/>
        <v>-500000</v>
      </c>
      <c r="G24" s="164">
        <v>2200000</v>
      </c>
      <c r="H24" s="300">
        <f t="shared" si="17"/>
        <v>81.481481481481481</v>
      </c>
      <c r="I24" s="288">
        <v>1760000</v>
      </c>
      <c r="J24" s="296">
        <v>440000</v>
      </c>
      <c r="K24" s="297"/>
    </row>
    <row r="25" spans="1:11" ht="22.5">
      <c r="A25" s="47">
        <f t="shared" si="0"/>
        <v>4</v>
      </c>
      <c r="B25" s="49" t="s">
        <v>79</v>
      </c>
      <c r="C25" s="50" t="s">
        <v>168</v>
      </c>
      <c r="D25" s="18">
        <v>250000</v>
      </c>
      <c r="E25" s="18">
        <v>250000</v>
      </c>
      <c r="F25" s="163">
        <f t="shared" si="16"/>
        <v>-50000</v>
      </c>
      <c r="G25" s="164">
        <v>200000</v>
      </c>
      <c r="H25" s="300">
        <f t="shared" si="17"/>
        <v>80</v>
      </c>
      <c r="I25" s="288">
        <v>140000</v>
      </c>
      <c r="J25" s="296">
        <v>60000</v>
      </c>
      <c r="K25" s="297"/>
    </row>
    <row r="26" spans="1:11" ht="15">
      <c r="A26" s="47">
        <f t="shared" si="0"/>
        <v>4</v>
      </c>
      <c r="B26" s="49" t="s">
        <v>80</v>
      </c>
      <c r="C26" s="50" t="s">
        <v>9</v>
      </c>
      <c r="D26" s="18">
        <v>220000</v>
      </c>
      <c r="E26" s="27">
        <f>220000+20000</f>
        <v>240000</v>
      </c>
      <c r="F26" s="163">
        <f t="shared" si="16"/>
        <v>-30000</v>
      </c>
      <c r="G26" s="164">
        <v>210000</v>
      </c>
      <c r="H26" s="300">
        <f t="shared" si="17"/>
        <v>87.5</v>
      </c>
      <c r="I26" s="288">
        <v>168000</v>
      </c>
      <c r="J26" s="296">
        <v>42000</v>
      </c>
      <c r="K26" s="297"/>
    </row>
    <row r="27" spans="1:11" ht="15">
      <c r="A27" s="47">
        <f t="shared" si="0"/>
        <v>4</v>
      </c>
      <c r="B27" s="49" t="s">
        <v>81</v>
      </c>
      <c r="C27" s="50" t="s">
        <v>169</v>
      </c>
      <c r="D27" s="18">
        <v>130000</v>
      </c>
      <c r="E27" s="18">
        <v>130000</v>
      </c>
      <c r="F27" s="163">
        <f t="shared" si="16"/>
        <v>20000</v>
      </c>
      <c r="G27" s="164">
        <v>150000</v>
      </c>
      <c r="H27" s="300">
        <f t="shared" si="17"/>
        <v>115.38461538461537</v>
      </c>
      <c r="I27" s="288">
        <v>120000</v>
      </c>
      <c r="J27" s="296">
        <v>30000</v>
      </c>
      <c r="K27" s="297"/>
    </row>
    <row r="28" spans="1:11">
      <c r="A28" s="47">
        <f t="shared" si="0"/>
        <v>3</v>
      </c>
      <c r="B28" s="51" t="s">
        <v>82</v>
      </c>
      <c r="C28" s="48" t="s">
        <v>83</v>
      </c>
      <c r="D28" s="20">
        <f t="shared" ref="D28:E28" si="18">SUM(D29:D37)</f>
        <v>7530000</v>
      </c>
      <c r="E28" s="20">
        <f t="shared" si="18"/>
        <v>9545490.5700000003</v>
      </c>
      <c r="F28" s="161">
        <f>SUM(F29:F37)</f>
        <v>-2398497.5699999994</v>
      </c>
      <c r="G28" s="162">
        <f t="shared" ref="G28" si="19">SUM(G29:G37)</f>
        <v>7146993</v>
      </c>
      <c r="H28" s="162">
        <f>G28/E28*100</f>
        <v>74.872977429383184</v>
      </c>
      <c r="I28" s="36">
        <f>SUM(I29:I37)</f>
        <v>5200947</v>
      </c>
      <c r="J28" s="37">
        <f t="shared" ref="J28:K28" si="20">SUM(J29:J37)</f>
        <v>1002700</v>
      </c>
      <c r="K28" s="257">
        <f t="shared" si="20"/>
        <v>943346</v>
      </c>
    </row>
    <row r="29" spans="1:11" ht="15">
      <c r="A29" s="47">
        <f t="shared" si="0"/>
        <v>4</v>
      </c>
      <c r="B29" s="49" t="s">
        <v>84</v>
      </c>
      <c r="C29" s="50" t="s">
        <v>11</v>
      </c>
      <c r="D29" s="19">
        <v>250000</v>
      </c>
      <c r="E29" s="19">
        <v>250000</v>
      </c>
      <c r="F29" s="163">
        <f t="shared" ref="F29:F37" si="21">G29-E29</f>
        <v>-40000</v>
      </c>
      <c r="G29" s="164">
        <v>210000</v>
      </c>
      <c r="H29" s="300">
        <f>G29/E29*100</f>
        <v>84</v>
      </c>
      <c r="I29" s="288">
        <v>168000</v>
      </c>
      <c r="J29" s="296">
        <v>42000</v>
      </c>
      <c r="K29" s="297"/>
    </row>
    <row r="30" spans="1:11" ht="15">
      <c r="A30" s="47">
        <f t="shared" si="0"/>
        <v>4</v>
      </c>
      <c r="B30" s="49" t="s">
        <v>85</v>
      </c>
      <c r="C30" s="50" t="s">
        <v>164</v>
      </c>
      <c r="D30" s="21">
        <v>3500000</v>
      </c>
      <c r="E30" s="28">
        <f>3500000+1393086.19+262200.38</f>
        <v>5155286.5699999994</v>
      </c>
      <c r="F30" s="163">
        <f t="shared" si="21"/>
        <v>-1668293.5699999994</v>
      </c>
      <c r="G30" s="164">
        <v>3486993</v>
      </c>
      <c r="H30" s="300">
        <f t="shared" ref="H30:H37" si="22">G30/E30*100</f>
        <v>67.639169086966973</v>
      </c>
      <c r="I30" s="288">
        <v>2284947</v>
      </c>
      <c r="J30" s="296">
        <v>258700</v>
      </c>
      <c r="K30" s="297">
        <v>943346</v>
      </c>
    </row>
    <row r="31" spans="1:11" ht="15">
      <c r="A31" s="47">
        <f t="shared" si="0"/>
        <v>4</v>
      </c>
      <c r="B31" s="49" t="s">
        <v>86</v>
      </c>
      <c r="C31" s="50" t="s">
        <v>12</v>
      </c>
      <c r="D31" s="19">
        <v>290000</v>
      </c>
      <c r="E31" s="19">
        <v>290000</v>
      </c>
      <c r="F31" s="163">
        <f t="shared" si="21"/>
        <v>-100000</v>
      </c>
      <c r="G31" s="164">
        <v>190000</v>
      </c>
      <c r="H31" s="300">
        <f t="shared" si="22"/>
        <v>65.517241379310349</v>
      </c>
      <c r="I31" s="288">
        <v>95000</v>
      </c>
      <c r="J31" s="296">
        <v>95000</v>
      </c>
      <c r="K31" s="297"/>
    </row>
    <row r="32" spans="1:11" ht="15">
      <c r="A32" s="47">
        <f t="shared" si="0"/>
        <v>4</v>
      </c>
      <c r="B32" s="49" t="s">
        <v>87</v>
      </c>
      <c r="C32" s="50" t="s">
        <v>13</v>
      </c>
      <c r="D32" s="19">
        <v>950000</v>
      </c>
      <c r="E32" s="19">
        <v>950000</v>
      </c>
      <c r="F32" s="163">
        <f t="shared" si="21"/>
        <v>-50000</v>
      </c>
      <c r="G32" s="164">
        <v>900000</v>
      </c>
      <c r="H32" s="300">
        <f t="shared" si="22"/>
        <v>94.73684210526315</v>
      </c>
      <c r="I32" s="288">
        <v>765000</v>
      </c>
      <c r="J32" s="296">
        <v>135000</v>
      </c>
      <c r="K32" s="297"/>
    </row>
    <row r="33" spans="1:11" ht="15">
      <c r="A33" s="47">
        <f t="shared" si="0"/>
        <v>4</v>
      </c>
      <c r="B33" s="49" t="s">
        <v>88</v>
      </c>
      <c r="C33" s="50" t="s">
        <v>14</v>
      </c>
      <c r="D33" s="22">
        <v>450000</v>
      </c>
      <c r="E33" s="30">
        <f>450000+250000</f>
        <v>700000</v>
      </c>
      <c r="F33" s="163">
        <f t="shared" si="21"/>
        <v>-250000</v>
      </c>
      <c r="G33" s="164">
        <v>450000</v>
      </c>
      <c r="H33" s="300">
        <f t="shared" si="22"/>
        <v>64.285714285714292</v>
      </c>
      <c r="I33" s="288">
        <v>360000</v>
      </c>
      <c r="J33" s="296">
        <v>90000</v>
      </c>
      <c r="K33" s="297"/>
    </row>
    <row r="34" spans="1:11" ht="15">
      <c r="A34" s="47">
        <f t="shared" si="0"/>
        <v>4</v>
      </c>
      <c r="B34" s="49" t="s">
        <v>89</v>
      </c>
      <c r="C34" s="50" t="s">
        <v>15</v>
      </c>
      <c r="D34" s="19">
        <v>540000</v>
      </c>
      <c r="E34" s="19">
        <v>540000</v>
      </c>
      <c r="F34" s="163">
        <f t="shared" si="21"/>
        <v>0</v>
      </c>
      <c r="G34" s="164">
        <v>540000</v>
      </c>
      <c r="H34" s="300">
        <f t="shared" si="22"/>
        <v>100</v>
      </c>
      <c r="I34" s="288">
        <v>432000</v>
      </c>
      <c r="J34" s="296">
        <v>108000</v>
      </c>
      <c r="K34" s="297"/>
    </row>
    <row r="35" spans="1:11" ht="15">
      <c r="A35" s="47">
        <f t="shared" si="0"/>
        <v>4</v>
      </c>
      <c r="B35" s="49" t="s">
        <v>90</v>
      </c>
      <c r="C35" s="50" t="s">
        <v>16</v>
      </c>
      <c r="D35" s="19">
        <v>600000</v>
      </c>
      <c r="E35" s="28">
        <f>600000+45000</f>
        <v>645000</v>
      </c>
      <c r="F35" s="163">
        <f t="shared" si="21"/>
        <v>-195000</v>
      </c>
      <c r="G35" s="164">
        <v>450000</v>
      </c>
      <c r="H35" s="300">
        <f t="shared" si="22"/>
        <v>69.767441860465112</v>
      </c>
      <c r="I35" s="288">
        <v>360000</v>
      </c>
      <c r="J35" s="296">
        <v>90000</v>
      </c>
      <c r="K35" s="297"/>
    </row>
    <row r="36" spans="1:11" ht="15">
      <c r="A36" s="47">
        <f t="shared" si="0"/>
        <v>4</v>
      </c>
      <c r="B36" s="49" t="s">
        <v>91</v>
      </c>
      <c r="C36" s="50" t="s">
        <v>17</v>
      </c>
      <c r="D36" s="19">
        <v>400000</v>
      </c>
      <c r="E36" s="28">
        <f>400000+65204</f>
        <v>465204</v>
      </c>
      <c r="F36" s="163">
        <f t="shared" si="21"/>
        <v>4796</v>
      </c>
      <c r="G36" s="164">
        <v>470000</v>
      </c>
      <c r="H36" s="300">
        <f t="shared" si="22"/>
        <v>101.03094556366669</v>
      </c>
      <c r="I36" s="288">
        <v>376000</v>
      </c>
      <c r="J36" s="296">
        <v>94000</v>
      </c>
      <c r="K36" s="297"/>
    </row>
    <row r="37" spans="1:11" ht="15">
      <c r="A37" s="47">
        <f t="shared" si="0"/>
        <v>4</v>
      </c>
      <c r="B37" s="49" t="s">
        <v>92</v>
      </c>
      <c r="C37" s="50" t="s">
        <v>18</v>
      </c>
      <c r="D37" s="19">
        <v>550000</v>
      </c>
      <c r="E37" s="19">
        <v>550000</v>
      </c>
      <c r="F37" s="163">
        <f t="shared" si="21"/>
        <v>-100000</v>
      </c>
      <c r="G37" s="164">
        <v>450000</v>
      </c>
      <c r="H37" s="300">
        <f t="shared" si="22"/>
        <v>81.818181818181827</v>
      </c>
      <c r="I37" s="288">
        <v>360000</v>
      </c>
      <c r="J37" s="296">
        <v>90000</v>
      </c>
      <c r="K37" s="297"/>
    </row>
    <row r="38" spans="1:11" ht="24.75">
      <c r="A38" s="47">
        <f t="shared" si="0"/>
        <v>3</v>
      </c>
      <c r="B38" s="51" t="s">
        <v>93</v>
      </c>
      <c r="C38" s="48" t="s">
        <v>25</v>
      </c>
      <c r="D38" s="23">
        <f t="shared" ref="D38:K38" si="23">D39</f>
        <v>50000</v>
      </c>
      <c r="E38" s="23">
        <f t="shared" si="23"/>
        <v>50000</v>
      </c>
      <c r="F38" s="168">
        <f t="shared" si="23"/>
        <v>-14000</v>
      </c>
      <c r="G38" s="169">
        <f t="shared" si="23"/>
        <v>36000</v>
      </c>
      <c r="H38" s="169">
        <f>G38/E38*100</f>
        <v>72</v>
      </c>
      <c r="I38" s="244">
        <f t="shared" si="23"/>
        <v>36000</v>
      </c>
      <c r="J38" s="38">
        <f t="shared" si="23"/>
        <v>0</v>
      </c>
      <c r="K38" s="260">
        <f t="shared" si="23"/>
        <v>0</v>
      </c>
    </row>
    <row r="39" spans="1:11" ht="22.5">
      <c r="A39" s="47">
        <f t="shared" si="0"/>
        <v>4</v>
      </c>
      <c r="B39" s="49" t="s">
        <v>94</v>
      </c>
      <c r="C39" s="50" t="s">
        <v>181</v>
      </c>
      <c r="D39" s="19">
        <v>50000</v>
      </c>
      <c r="E39" s="19">
        <v>50000</v>
      </c>
      <c r="F39" s="163">
        <f>G39-E39</f>
        <v>-14000</v>
      </c>
      <c r="G39" s="164">
        <v>36000</v>
      </c>
      <c r="H39" s="300">
        <f>G39/E39*100</f>
        <v>72</v>
      </c>
      <c r="I39" s="288">
        <v>36000</v>
      </c>
      <c r="J39" s="296"/>
      <c r="K39" s="297"/>
    </row>
    <row r="40" spans="1:11" ht="24.75">
      <c r="A40" s="47">
        <f t="shared" si="0"/>
        <v>3</v>
      </c>
      <c r="B40" s="51" t="s">
        <v>95</v>
      </c>
      <c r="C40" s="48" t="s">
        <v>21</v>
      </c>
      <c r="D40" s="20">
        <f t="shared" ref="D40:E40" si="24">SUM(D41:D47)</f>
        <v>491000</v>
      </c>
      <c r="E40" s="20">
        <f t="shared" si="24"/>
        <v>491000</v>
      </c>
      <c r="F40" s="161">
        <f>SUM(F41:F47)</f>
        <v>-51000</v>
      </c>
      <c r="G40" s="162">
        <f t="shared" ref="G40" si="25">SUM(G41:G47)</f>
        <v>440000</v>
      </c>
      <c r="H40" s="162">
        <f>G40/E40*100</f>
        <v>89.613034623217928</v>
      </c>
      <c r="I40" s="36">
        <f>SUM(I41:I47)</f>
        <v>326000</v>
      </c>
      <c r="J40" s="37">
        <f t="shared" ref="J40:K40" si="26">SUM(J41:J47)</f>
        <v>114000</v>
      </c>
      <c r="K40" s="257">
        <f t="shared" si="26"/>
        <v>0</v>
      </c>
    </row>
    <row r="41" spans="1:11" ht="22.5">
      <c r="A41" s="47">
        <f t="shared" si="0"/>
        <v>4</v>
      </c>
      <c r="B41" s="49" t="s">
        <v>96</v>
      </c>
      <c r="C41" s="50" t="s">
        <v>97</v>
      </c>
      <c r="D41" s="19">
        <v>36000</v>
      </c>
      <c r="E41" s="19">
        <v>36000</v>
      </c>
      <c r="F41" s="163">
        <f t="shared" ref="F41:F47" si="27">G41-E41</f>
        <v>11000</v>
      </c>
      <c r="G41" s="164">
        <v>47000</v>
      </c>
      <c r="H41" s="300">
        <f>G41/E41*100</f>
        <v>130.55555555555557</v>
      </c>
      <c r="I41" s="288">
        <v>47000</v>
      </c>
      <c r="J41" s="296"/>
      <c r="K41" s="297"/>
    </row>
    <row r="42" spans="1:11" ht="15">
      <c r="A42" s="47">
        <f t="shared" si="0"/>
        <v>4</v>
      </c>
      <c r="B42" s="49" t="s">
        <v>98</v>
      </c>
      <c r="C42" s="50" t="s">
        <v>26</v>
      </c>
      <c r="D42" s="19">
        <v>220000</v>
      </c>
      <c r="E42" s="19">
        <v>220000</v>
      </c>
      <c r="F42" s="163">
        <f t="shared" si="27"/>
        <v>0</v>
      </c>
      <c r="G42" s="164">
        <v>220000</v>
      </c>
      <c r="H42" s="300">
        <f t="shared" ref="H42:H47" si="28">G42/E42*100</f>
        <v>100</v>
      </c>
      <c r="I42" s="288">
        <v>176000</v>
      </c>
      <c r="J42" s="296">
        <v>44000</v>
      </c>
      <c r="K42" s="297"/>
    </row>
    <row r="43" spans="1:11" ht="15">
      <c r="A43" s="47">
        <f t="shared" si="0"/>
        <v>4</v>
      </c>
      <c r="B43" s="49" t="s">
        <v>99</v>
      </c>
      <c r="C43" s="50" t="s">
        <v>19</v>
      </c>
      <c r="D43" s="19">
        <v>55000</v>
      </c>
      <c r="E43" s="19">
        <v>55000</v>
      </c>
      <c r="F43" s="163">
        <f t="shared" si="27"/>
        <v>-30000</v>
      </c>
      <c r="G43" s="164">
        <v>25000</v>
      </c>
      <c r="H43" s="300">
        <f t="shared" si="28"/>
        <v>45.454545454545453</v>
      </c>
      <c r="I43" s="288"/>
      <c r="J43" s="296">
        <v>25000</v>
      </c>
      <c r="K43" s="297"/>
    </row>
    <row r="44" spans="1:11" ht="15">
      <c r="A44" s="47">
        <f t="shared" si="0"/>
        <v>4</v>
      </c>
      <c r="B44" s="49" t="s">
        <v>100</v>
      </c>
      <c r="C44" s="50" t="s">
        <v>101</v>
      </c>
      <c r="D44" s="19">
        <v>40000</v>
      </c>
      <c r="E44" s="19">
        <v>40000</v>
      </c>
      <c r="F44" s="163">
        <f t="shared" si="27"/>
        <v>-2000</v>
      </c>
      <c r="G44" s="164">
        <v>38000</v>
      </c>
      <c r="H44" s="300">
        <f t="shared" si="28"/>
        <v>95</v>
      </c>
      <c r="I44" s="288">
        <v>19000</v>
      </c>
      <c r="J44" s="296">
        <v>19000</v>
      </c>
      <c r="K44" s="297"/>
    </row>
    <row r="45" spans="1:11" ht="15">
      <c r="A45" s="47">
        <f t="shared" si="0"/>
        <v>4</v>
      </c>
      <c r="B45" s="49" t="s">
        <v>102</v>
      </c>
      <c r="C45" s="50" t="s">
        <v>20</v>
      </c>
      <c r="D45" s="19">
        <v>100000</v>
      </c>
      <c r="E45" s="19">
        <v>100000</v>
      </c>
      <c r="F45" s="163">
        <f t="shared" si="27"/>
        <v>-30000</v>
      </c>
      <c r="G45" s="164">
        <v>70000</v>
      </c>
      <c r="H45" s="300">
        <f t="shared" si="28"/>
        <v>70</v>
      </c>
      <c r="I45" s="288">
        <v>56000</v>
      </c>
      <c r="J45" s="296">
        <v>14000</v>
      </c>
      <c r="K45" s="297"/>
    </row>
    <row r="46" spans="1:11" ht="15">
      <c r="A46" s="47">
        <f t="shared" si="0"/>
        <v>4</v>
      </c>
      <c r="B46" s="49" t="s">
        <v>103</v>
      </c>
      <c r="C46" s="50" t="s">
        <v>27</v>
      </c>
      <c r="D46" s="19"/>
      <c r="E46" s="19"/>
      <c r="F46" s="163">
        <f t="shared" si="27"/>
        <v>0</v>
      </c>
      <c r="G46" s="164">
        <v>0</v>
      </c>
      <c r="H46" s="300"/>
      <c r="I46" s="288"/>
      <c r="J46" s="296"/>
      <c r="K46" s="297"/>
    </row>
    <row r="47" spans="1:11" thickBot="1">
      <c r="A47" s="47">
        <f t="shared" si="0"/>
        <v>4</v>
      </c>
      <c r="B47" s="54" t="s">
        <v>104</v>
      </c>
      <c r="C47" s="55" t="s">
        <v>180</v>
      </c>
      <c r="D47" s="180">
        <v>40000</v>
      </c>
      <c r="E47" s="180">
        <v>40000</v>
      </c>
      <c r="F47" s="177">
        <f t="shared" si="27"/>
        <v>0</v>
      </c>
      <c r="G47" s="178">
        <v>40000</v>
      </c>
      <c r="H47" s="300">
        <f t="shared" si="28"/>
        <v>100</v>
      </c>
      <c r="I47" s="285">
        <v>28000</v>
      </c>
      <c r="J47" s="298">
        <v>12000</v>
      </c>
      <c r="K47" s="299"/>
    </row>
    <row r="48" spans="1:11" ht="16.5" thickBot="1">
      <c r="A48" s="47">
        <f t="shared" si="0"/>
        <v>2</v>
      </c>
      <c r="B48" s="235" t="s">
        <v>105</v>
      </c>
      <c r="C48" s="181" t="s">
        <v>106</v>
      </c>
      <c r="D48" s="182">
        <f t="shared" ref="D48:J48" si="29">D51+D49</f>
        <v>313000</v>
      </c>
      <c r="E48" s="182">
        <f t="shared" si="29"/>
        <v>313000</v>
      </c>
      <c r="F48" s="183">
        <f t="shared" si="29"/>
        <v>-82500</v>
      </c>
      <c r="G48" s="184">
        <f t="shared" si="29"/>
        <v>230500</v>
      </c>
      <c r="H48" s="184">
        <f>G48/E48*100</f>
        <v>73.642172523961662</v>
      </c>
      <c r="I48" s="242">
        <f t="shared" si="29"/>
        <v>95000</v>
      </c>
      <c r="J48" s="275">
        <f t="shared" si="29"/>
        <v>135500</v>
      </c>
      <c r="K48" s="261">
        <f t="shared" ref="K48" si="30">K51+K49</f>
        <v>0</v>
      </c>
    </row>
    <row r="49" spans="1:11">
      <c r="B49" s="170">
        <v>342</v>
      </c>
      <c r="C49" s="171" t="s">
        <v>107</v>
      </c>
      <c r="D49" s="172">
        <f t="shared" ref="D49:K49" si="31">SUM(D50)</f>
        <v>50000</v>
      </c>
      <c r="E49" s="172">
        <f t="shared" si="31"/>
        <v>50000</v>
      </c>
      <c r="F49" s="173">
        <f t="shared" si="31"/>
        <v>0</v>
      </c>
      <c r="G49" s="174">
        <f t="shared" si="31"/>
        <v>50000</v>
      </c>
      <c r="H49" s="174">
        <f>G49/E49*100</f>
        <v>100</v>
      </c>
      <c r="I49" s="243">
        <f t="shared" si="31"/>
        <v>0</v>
      </c>
      <c r="J49" s="204">
        <f t="shared" si="31"/>
        <v>50000</v>
      </c>
      <c r="K49" s="256">
        <f t="shared" si="31"/>
        <v>0</v>
      </c>
    </row>
    <row r="50" spans="1:11" ht="15">
      <c r="B50" s="53">
        <v>3423</v>
      </c>
      <c r="C50" s="50" t="s">
        <v>108</v>
      </c>
      <c r="D50" s="19">
        <v>50000</v>
      </c>
      <c r="E50" s="19">
        <v>50000</v>
      </c>
      <c r="F50" s="163">
        <f>G50-E50</f>
        <v>0</v>
      </c>
      <c r="G50" s="164">
        <v>50000</v>
      </c>
      <c r="H50" s="300">
        <f>G50/E50*100</f>
        <v>100</v>
      </c>
      <c r="I50" s="288">
        <v>0</v>
      </c>
      <c r="J50" s="39">
        <v>50000</v>
      </c>
      <c r="K50" s="295"/>
    </row>
    <row r="51" spans="1:11">
      <c r="A51" s="47">
        <f t="shared" si="0"/>
        <v>3</v>
      </c>
      <c r="B51" s="51" t="s">
        <v>109</v>
      </c>
      <c r="C51" s="48" t="s">
        <v>29</v>
      </c>
      <c r="D51" s="17">
        <f t="shared" ref="D51:E51" si="32">SUM(D52:D55)</f>
        <v>263000</v>
      </c>
      <c r="E51" s="17">
        <f t="shared" si="32"/>
        <v>263000</v>
      </c>
      <c r="F51" s="161">
        <f t="shared" ref="F51:J51" si="33">SUM(F52:F55)</f>
        <v>-82500</v>
      </c>
      <c r="G51" s="162">
        <f t="shared" si="33"/>
        <v>180500</v>
      </c>
      <c r="H51" s="162">
        <f>G51/E51*100</f>
        <v>68.631178707224336</v>
      </c>
      <c r="I51" s="36">
        <f t="shared" si="33"/>
        <v>95000</v>
      </c>
      <c r="J51" s="37">
        <f t="shared" si="33"/>
        <v>85500</v>
      </c>
      <c r="K51" s="257">
        <f t="shared" ref="K51" si="34">SUM(K52:K55)</f>
        <v>0</v>
      </c>
    </row>
    <row r="52" spans="1:11" ht="22.5">
      <c r="A52" s="47">
        <f t="shared" si="0"/>
        <v>4</v>
      </c>
      <c r="B52" s="49" t="s">
        <v>110</v>
      </c>
      <c r="C52" s="50" t="s">
        <v>179</v>
      </c>
      <c r="D52" s="19">
        <v>33000</v>
      </c>
      <c r="E52" s="19">
        <v>33000</v>
      </c>
      <c r="F52" s="163">
        <f>G52-E52</f>
        <v>-8000</v>
      </c>
      <c r="G52" s="164">
        <v>25000</v>
      </c>
      <c r="H52" s="300">
        <f>G52/E52*100</f>
        <v>75.757575757575751</v>
      </c>
      <c r="I52" s="288">
        <v>20000</v>
      </c>
      <c r="J52" s="39">
        <v>5000</v>
      </c>
      <c r="K52" s="295"/>
    </row>
    <row r="53" spans="1:11" ht="15">
      <c r="A53" s="47">
        <f t="shared" si="0"/>
        <v>4</v>
      </c>
      <c r="B53" s="49" t="s">
        <v>111</v>
      </c>
      <c r="C53" s="50" t="s">
        <v>163</v>
      </c>
      <c r="D53" s="19">
        <v>30000</v>
      </c>
      <c r="E53" s="19">
        <v>30000</v>
      </c>
      <c r="F53" s="163">
        <f>G53-E53</f>
        <v>-25000</v>
      </c>
      <c r="G53" s="164">
        <v>5000</v>
      </c>
      <c r="H53" s="300">
        <f t="shared" ref="H53:H55" si="35">G53/E53*100</f>
        <v>16.666666666666664</v>
      </c>
      <c r="I53" s="288"/>
      <c r="J53" s="39">
        <v>5000</v>
      </c>
      <c r="K53" s="295"/>
    </row>
    <row r="54" spans="1:11" ht="15">
      <c r="A54" s="47">
        <f t="shared" si="0"/>
        <v>4</v>
      </c>
      <c r="B54" s="54" t="s">
        <v>112</v>
      </c>
      <c r="C54" s="55" t="s">
        <v>28</v>
      </c>
      <c r="D54" s="19"/>
      <c r="E54" s="19"/>
      <c r="F54" s="163">
        <f>G54-E54</f>
        <v>500</v>
      </c>
      <c r="G54" s="164">
        <v>500</v>
      </c>
      <c r="H54" s="300"/>
      <c r="I54" s="288"/>
      <c r="J54" s="39">
        <v>500</v>
      </c>
      <c r="K54" s="295"/>
    </row>
    <row r="55" spans="1:11" ht="23.25" thickBot="1">
      <c r="B55" s="210" t="s">
        <v>113</v>
      </c>
      <c r="C55" s="211" t="s">
        <v>22</v>
      </c>
      <c r="D55" s="180">
        <v>200000</v>
      </c>
      <c r="E55" s="180">
        <v>200000</v>
      </c>
      <c r="F55" s="177">
        <f>G55-E55</f>
        <v>-50000</v>
      </c>
      <c r="G55" s="178">
        <v>150000</v>
      </c>
      <c r="H55" s="300">
        <f t="shared" si="35"/>
        <v>75</v>
      </c>
      <c r="I55" s="285">
        <v>75000</v>
      </c>
      <c r="J55" s="286">
        <v>75000</v>
      </c>
      <c r="K55" s="287"/>
    </row>
    <row r="56" spans="1:11" ht="16.5" thickBot="1">
      <c r="B56" s="233">
        <v>38</v>
      </c>
      <c r="C56" s="181" t="s">
        <v>114</v>
      </c>
      <c r="D56" s="205">
        <f t="shared" ref="D56:K56" si="36">D57</f>
        <v>0</v>
      </c>
      <c r="E56" s="205">
        <f t="shared" si="36"/>
        <v>0</v>
      </c>
      <c r="F56" s="183">
        <f t="shared" si="36"/>
        <v>0</v>
      </c>
      <c r="G56" s="184">
        <f t="shared" si="36"/>
        <v>0</v>
      </c>
      <c r="H56" s="184"/>
      <c r="I56" s="242">
        <f t="shared" si="36"/>
        <v>0</v>
      </c>
      <c r="J56" s="206">
        <f t="shared" si="36"/>
        <v>0</v>
      </c>
      <c r="K56" s="255">
        <f t="shared" si="36"/>
        <v>0</v>
      </c>
    </row>
    <row r="57" spans="1:11" ht="23.25" thickBot="1">
      <c r="A57" s="47">
        <f t="shared" si="0"/>
        <v>4</v>
      </c>
      <c r="B57" s="195">
        <v>3831</v>
      </c>
      <c r="C57" s="196" t="s">
        <v>30</v>
      </c>
      <c r="D57" s="212"/>
      <c r="E57" s="212"/>
      <c r="F57" s="213"/>
      <c r="G57" s="214"/>
      <c r="H57" s="214"/>
      <c r="I57" s="245"/>
      <c r="J57" s="276"/>
      <c r="K57" s="262"/>
    </row>
    <row r="58" spans="1:11" ht="27" customHeight="1" thickBot="1">
      <c r="A58" s="47" t="e">
        <f>LEN(#REF!)</f>
        <v>#REF!</v>
      </c>
      <c r="B58" s="197" t="s">
        <v>115</v>
      </c>
      <c r="C58" s="198" t="s">
        <v>116</v>
      </c>
      <c r="D58" s="199">
        <f t="shared" ref="D58:J58" si="37">D59+D63+D76</f>
        <v>7306000</v>
      </c>
      <c r="E58" s="199">
        <f t="shared" si="37"/>
        <v>8265716</v>
      </c>
      <c r="F58" s="200">
        <f t="shared" si="37"/>
        <v>-723026</v>
      </c>
      <c r="G58" s="200">
        <f t="shared" si="37"/>
        <v>7542690</v>
      </c>
      <c r="H58" s="200">
        <f>G58/E58*100</f>
        <v>91.25271180379292</v>
      </c>
      <c r="I58" s="246">
        <f t="shared" si="37"/>
        <v>0</v>
      </c>
      <c r="J58" s="277">
        <f t="shared" si="37"/>
        <v>0</v>
      </c>
      <c r="K58" s="263">
        <f t="shared" ref="K58" si="38">K59+K63+K76</f>
        <v>7542690</v>
      </c>
    </row>
    <row r="59" spans="1:11" ht="27" thickBot="1">
      <c r="A59" s="47">
        <f>LEN(B64)</f>
        <v>3</v>
      </c>
      <c r="B59" s="236" t="s">
        <v>117</v>
      </c>
      <c r="C59" s="219" t="s">
        <v>178</v>
      </c>
      <c r="D59" s="220">
        <f t="shared" ref="D59:K59" si="39">D60</f>
        <v>50000</v>
      </c>
      <c r="E59" s="220">
        <f t="shared" si="39"/>
        <v>50000</v>
      </c>
      <c r="F59" s="221">
        <f t="shared" si="39"/>
        <v>-10000</v>
      </c>
      <c r="G59" s="222">
        <f t="shared" si="39"/>
        <v>40000</v>
      </c>
      <c r="H59" s="222">
        <f>G59/E59*100</f>
        <v>80</v>
      </c>
      <c r="I59" s="247">
        <f t="shared" si="39"/>
        <v>0</v>
      </c>
      <c r="J59" s="278">
        <f t="shared" si="39"/>
        <v>0</v>
      </c>
      <c r="K59" s="264">
        <f t="shared" si="39"/>
        <v>40000</v>
      </c>
    </row>
    <row r="60" spans="1:11">
      <c r="A60" s="47">
        <f>LEN(B67)</f>
        <v>4</v>
      </c>
      <c r="B60" s="239" t="s">
        <v>118</v>
      </c>
      <c r="C60" s="215" t="s">
        <v>119</v>
      </c>
      <c r="D60" s="216">
        <f t="shared" ref="D60:J60" si="40">D61+D62</f>
        <v>50000</v>
      </c>
      <c r="E60" s="216">
        <f t="shared" si="40"/>
        <v>50000</v>
      </c>
      <c r="F60" s="217">
        <f t="shared" si="40"/>
        <v>-10000</v>
      </c>
      <c r="G60" s="218">
        <f t="shared" si="40"/>
        <v>40000</v>
      </c>
      <c r="H60" s="218">
        <f>G60/E60*100</f>
        <v>80</v>
      </c>
      <c r="I60" s="248">
        <f t="shared" si="40"/>
        <v>0</v>
      </c>
      <c r="J60" s="279">
        <f t="shared" si="40"/>
        <v>0</v>
      </c>
      <c r="K60" s="265">
        <f t="shared" ref="K60" si="41">K61+K62</f>
        <v>40000</v>
      </c>
    </row>
    <row r="61" spans="1:11" ht="15">
      <c r="A61" s="47">
        <f>LEN(B68)</f>
        <v>4</v>
      </c>
      <c r="B61" s="57" t="s">
        <v>120</v>
      </c>
      <c r="C61" s="58" t="s">
        <v>31</v>
      </c>
      <c r="D61" s="24">
        <v>50000</v>
      </c>
      <c r="E61" s="24">
        <v>50000</v>
      </c>
      <c r="F61" s="163">
        <f>G61-E61</f>
        <v>-10000</v>
      </c>
      <c r="G61" s="164">
        <v>40000</v>
      </c>
      <c r="H61" s="300">
        <f>G61/E61*100</f>
        <v>80</v>
      </c>
      <c r="I61" s="288">
        <v>0</v>
      </c>
      <c r="J61" s="39"/>
      <c r="K61" s="295">
        <v>40000</v>
      </c>
    </row>
    <row r="62" spans="1:11" thickBot="1">
      <c r="A62" s="47">
        <f>LEN(B69)</f>
        <v>4</v>
      </c>
      <c r="B62" s="59" t="s">
        <v>121</v>
      </c>
      <c r="C62" s="60" t="s">
        <v>122</v>
      </c>
      <c r="D62" s="26"/>
      <c r="E62" s="26"/>
      <c r="F62" s="177"/>
      <c r="G62" s="178"/>
      <c r="H62" s="301"/>
      <c r="I62" s="285"/>
      <c r="J62" s="286"/>
      <c r="K62" s="287"/>
    </row>
    <row r="63" spans="1:11" ht="27" thickBot="1">
      <c r="A63" s="47">
        <f>LEN(B70)</f>
        <v>4</v>
      </c>
      <c r="B63" s="236" t="s">
        <v>123</v>
      </c>
      <c r="C63" s="219" t="s">
        <v>170</v>
      </c>
      <c r="D63" s="220">
        <f>D64+D72</f>
        <v>7256000</v>
      </c>
      <c r="E63" s="220">
        <f t="shared" ref="E63:J63" si="42">E64+E72</f>
        <v>8215716</v>
      </c>
      <c r="F63" s="220">
        <f t="shared" si="42"/>
        <v>-713026</v>
      </c>
      <c r="G63" s="220">
        <f t="shared" si="42"/>
        <v>7502690</v>
      </c>
      <c r="H63" s="223">
        <f>G63/E63*100</f>
        <v>91.321194646942516</v>
      </c>
      <c r="I63" s="220">
        <f t="shared" si="42"/>
        <v>0</v>
      </c>
      <c r="J63" s="280">
        <f t="shared" si="42"/>
        <v>0</v>
      </c>
      <c r="K63" s="266">
        <f t="shared" ref="K63" si="43">K64+K72</f>
        <v>7502690</v>
      </c>
    </row>
    <row r="64" spans="1:11">
      <c r="A64" s="47" t="e">
        <f>LEN(#REF!)</f>
        <v>#REF!</v>
      </c>
      <c r="B64" s="239" t="s">
        <v>124</v>
      </c>
      <c r="C64" s="215" t="s">
        <v>125</v>
      </c>
      <c r="D64" s="216">
        <f t="shared" ref="D64" si="44">SUM(D65:D71)</f>
        <v>7156000</v>
      </c>
      <c r="E64" s="216">
        <f t="shared" ref="E64:J64" si="45">SUM(E65:E71)</f>
        <v>7988216</v>
      </c>
      <c r="F64" s="217">
        <f t="shared" si="45"/>
        <v>-713026</v>
      </c>
      <c r="G64" s="218">
        <f t="shared" si="45"/>
        <v>7275190</v>
      </c>
      <c r="H64" s="218">
        <f>G64/E64*100</f>
        <v>91.074027041832622</v>
      </c>
      <c r="I64" s="248">
        <f t="shared" si="45"/>
        <v>0</v>
      </c>
      <c r="J64" s="279">
        <f t="shared" si="45"/>
        <v>0</v>
      </c>
      <c r="K64" s="265">
        <f t="shared" ref="K64" si="46">SUM(K65:K71)</f>
        <v>7275190</v>
      </c>
    </row>
    <row r="65" spans="1:11" ht="15">
      <c r="A65" s="47" t="e">
        <f>LEN(#REF!)</f>
        <v>#REF!</v>
      </c>
      <c r="B65" s="57" t="s">
        <v>126</v>
      </c>
      <c r="C65" s="58" t="s">
        <v>32</v>
      </c>
      <c r="D65" s="24">
        <v>350000</v>
      </c>
      <c r="E65" s="29">
        <f>350000+196000</f>
        <v>546000</v>
      </c>
      <c r="F65" s="163">
        <f t="shared" ref="F65:F71" si="47">G65-E65</f>
        <v>-186000</v>
      </c>
      <c r="G65" s="164">
        <v>360000</v>
      </c>
      <c r="H65" s="300">
        <f>G65/E65*100</f>
        <v>65.934065934065927</v>
      </c>
      <c r="I65" s="288"/>
      <c r="J65" s="289"/>
      <c r="K65" s="290">
        <v>360000</v>
      </c>
    </row>
    <row r="66" spans="1:11" ht="15">
      <c r="A66" s="47" t="e">
        <f>LEN(#REF!)</f>
        <v>#REF!</v>
      </c>
      <c r="B66" s="57" t="s">
        <v>127</v>
      </c>
      <c r="C66" s="58" t="s">
        <v>33</v>
      </c>
      <c r="D66" s="24">
        <v>100000</v>
      </c>
      <c r="E66" s="29">
        <f>100000+100000</f>
        <v>200000</v>
      </c>
      <c r="F66" s="163">
        <f t="shared" si="47"/>
        <v>-80000</v>
      </c>
      <c r="G66" s="164">
        <v>120000</v>
      </c>
      <c r="H66" s="300">
        <f t="shared" ref="H66:H71" si="48">G66/E66*100</f>
        <v>60</v>
      </c>
      <c r="I66" s="288"/>
      <c r="J66" s="289"/>
      <c r="K66" s="290">
        <v>120000</v>
      </c>
    </row>
    <row r="67" spans="1:11" ht="15">
      <c r="A67" s="47" t="e">
        <f>LEN(#REF!)</f>
        <v>#REF!</v>
      </c>
      <c r="B67" s="57" t="s">
        <v>128</v>
      </c>
      <c r="C67" s="58" t="s">
        <v>34</v>
      </c>
      <c r="D67" s="24">
        <v>200000</v>
      </c>
      <c r="E67" s="29">
        <f>200000+158750</f>
        <v>358750</v>
      </c>
      <c r="F67" s="163">
        <f t="shared" si="47"/>
        <v>-200000</v>
      </c>
      <c r="G67" s="164">
        <v>158750</v>
      </c>
      <c r="H67" s="300">
        <f t="shared" si="48"/>
        <v>44.250871080139369</v>
      </c>
      <c r="I67" s="288"/>
      <c r="J67" s="289"/>
      <c r="K67" s="290">
        <v>158750</v>
      </c>
    </row>
    <row r="68" spans="1:11" ht="15">
      <c r="A68" s="47" t="e">
        <f>LEN(#REF!)</f>
        <v>#REF!</v>
      </c>
      <c r="B68" s="57" t="s">
        <v>129</v>
      </c>
      <c r="C68" s="58" t="s">
        <v>35</v>
      </c>
      <c r="D68" s="24">
        <v>6356000</v>
      </c>
      <c r="E68" s="29">
        <f>6356000+319091</f>
        <v>6675091</v>
      </c>
      <c r="F68" s="163">
        <f t="shared" si="47"/>
        <v>-123651</v>
      </c>
      <c r="G68" s="164">
        <v>6551440</v>
      </c>
      <c r="H68" s="300">
        <f t="shared" si="48"/>
        <v>98.147575815820346</v>
      </c>
      <c r="I68" s="288"/>
      <c r="J68" s="289"/>
      <c r="K68" s="290">
        <v>6551440</v>
      </c>
    </row>
    <row r="69" spans="1:11" ht="15">
      <c r="A69" s="47" t="e">
        <f>LEN(#REF!)</f>
        <v>#REF!</v>
      </c>
      <c r="B69" s="57" t="s">
        <v>130</v>
      </c>
      <c r="C69" s="58" t="s">
        <v>36</v>
      </c>
      <c r="D69" s="24"/>
      <c r="E69" s="24"/>
      <c r="F69" s="163"/>
      <c r="G69" s="164"/>
      <c r="H69" s="300"/>
      <c r="I69" s="288"/>
      <c r="J69" s="289"/>
      <c r="K69" s="290"/>
    </row>
    <row r="70" spans="1:11" ht="15">
      <c r="A70" s="47">
        <f>LEN(B72)</f>
        <v>3</v>
      </c>
      <c r="B70" s="57" t="s">
        <v>131</v>
      </c>
      <c r="C70" s="58" t="s">
        <v>132</v>
      </c>
      <c r="D70" s="24"/>
      <c r="E70" s="24"/>
      <c r="F70" s="163"/>
      <c r="G70" s="164"/>
      <c r="H70" s="300"/>
      <c r="I70" s="288"/>
      <c r="J70" s="289"/>
      <c r="K70" s="290"/>
    </row>
    <row r="71" spans="1:11" ht="22.5">
      <c r="A71" s="47">
        <f>LEN(B73)</f>
        <v>4</v>
      </c>
      <c r="B71" s="57" t="s">
        <v>133</v>
      </c>
      <c r="C71" s="58" t="s">
        <v>37</v>
      </c>
      <c r="D71" s="24">
        <v>150000</v>
      </c>
      <c r="E71" s="29">
        <f>150000+58375</f>
        <v>208375</v>
      </c>
      <c r="F71" s="163">
        <f t="shared" si="47"/>
        <v>-123375</v>
      </c>
      <c r="G71" s="164">
        <v>85000</v>
      </c>
      <c r="H71" s="300">
        <f t="shared" si="48"/>
        <v>40.791841631673663</v>
      </c>
      <c r="I71" s="288"/>
      <c r="J71" s="289"/>
      <c r="K71" s="290">
        <v>85000</v>
      </c>
    </row>
    <row r="72" spans="1:11" ht="24.75">
      <c r="A72" s="47" t="e">
        <f>LEN(#REF!)</f>
        <v>#REF!</v>
      </c>
      <c r="B72" s="240" t="s">
        <v>134</v>
      </c>
      <c r="C72" s="56" t="s">
        <v>135</v>
      </c>
      <c r="D72" s="25">
        <f t="shared" ref="D72:E72" si="49">SUM(D73:D75)</f>
        <v>100000</v>
      </c>
      <c r="E72" s="25">
        <f t="shared" si="49"/>
        <v>227500</v>
      </c>
      <c r="F72" s="176">
        <f t="shared" ref="F72:J72" si="50">SUM(F73:F75)</f>
        <v>0</v>
      </c>
      <c r="G72" s="162">
        <f t="shared" si="50"/>
        <v>227500</v>
      </c>
      <c r="H72" s="162">
        <f>G72/E72*100</f>
        <v>100</v>
      </c>
      <c r="I72" s="249">
        <f t="shared" si="50"/>
        <v>0</v>
      </c>
      <c r="J72" s="40">
        <f t="shared" si="50"/>
        <v>0</v>
      </c>
      <c r="K72" s="267">
        <f t="shared" ref="K72" si="51">SUM(K73:K75)</f>
        <v>227500</v>
      </c>
    </row>
    <row r="73" spans="1:11" ht="15">
      <c r="A73" s="47">
        <f>LEN(B76)</f>
        <v>2</v>
      </c>
      <c r="B73" s="57" t="s">
        <v>136</v>
      </c>
      <c r="C73" s="58" t="s">
        <v>137</v>
      </c>
      <c r="D73" s="24">
        <v>100000</v>
      </c>
      <c r="E73" s="29">
        <f>100000+127500</f>
        <v>227500</v>
      </c>
      <c r="F73" s="163"/>
      <c r="G73" s="164">
        <v>227500</v>
      </c>
      <c r="H73" s="300">
        <f>G73/E73*100</f>
        <v>100</v>
      </c>
      <c r="I73" s="288"/>
      <c r="J73" s="289"/>
      <c r="K73" s="290">
        <v>227500</v>
      </c>
    </row>
    <row r="74" spans="1:11" ht="22.5">
      <c r="A74" s="47">
        <f>LEN(B77)</f>
        <v>3</v>
      </c>
      <c r="B74" s="57" t="s">
        <v>138</v>
      </c>
      <c r="C74" s="58" t="s">
        <v>172</v>
      </c>
      <c r="D74" s="24"/>
      <c r="E74" s="24"/>
      <c r="F74" s="165"/>
      <c r="G74" s="175"/>
      <c r="H74" s="302"/>
      <c r="I74" s="291"/>
      <c r="J74" s="289"/>
      <c r="K74" s="290"/>
    </row>
    <row r="75" spans="1:11" thickBot="1">
      <c r="A75" s="47">
        <f>LEN(B78)</f>
        <v>4</v>
      </c>
      <c r="B75" s="59" t="s">
        <v>139</v>
      </c>
      <c r="C75" s="60" t="s">
        <v>173</v>
      </c>
      <c r="D75" s="26"/>
      <c r="E75" s="26"/>
      <c r="F75" s="179"/>
      <c r="G75" s="191"/>
      <c r="H75" s="303"/>
      <c r="I75" s="292"/>
      <c r="J75" s="293"/>
      <c r="K75" s="294"/>
    </row>
    <row r="76" spans="1:11" ht="27" thickBot="1">
      <c r="A76" s="47" t="e">
        <f>LEN(#REF!)</f>
        <v>#REF!</v>
      </c>
      <c r="B76" s="237" t="s">
        <v>140</v>
      </c>
      <c r="C76" s="219" t="s">
        <v>171</v>
      </c>
      <c r="D76" s="225">
        <f t="shared" ref="D76:K77" si="52">D77</f>
        <v>0</v>
      </c>
      <c r="E76" s="225">
        <f t="shared" si="52"/>
        <v>0</v>
      </c>
      <c r="F76" s="221">
        <f t="shared" si="52"/>
        <v>0</v>
      </c>
      <c r="G76" s="222">
        <f t="shared" si="52"/>
        <v>0</v>
      </c>
      <c r="H76" s="222"/>
      <c r="I76" s="247">
        <f t="shared" si="52"/>
        <v>0</v>
      </c>
      <c r="J76" s="281">
        <f t="shared" si="52"/>
        <v>0</v>
      </c>
      <c r="K76" s="268">
        <f t="shared" si="52"/>
        <v>0</v>
      </c>
    </row>
    <row r="77" spans="1:11" ht="24.75">
      <c r="A77" s="47" t="e">
        <f>LEN(#REF!)</f>
        <v>#REF!</v>
      </c>
      <c r="B77" s="239" t="s">
        <v>141</v>
      </c>
      <c r="C77" s="215" t="s">
        <v>142</v>
      </c>
      <c r="D77" s="224">
        <f t="shared" si="52"/>
        <v>0</v>
      </c>
      <c r="E77" s="224">
        <f t="shared" si="52"/>
        <v>0</v>
      </c>
      <c r="F77" s="217">
        <f t="shared" si="52"/>
        <v>0</v>
      </c>
      <c r="G77" s="218">
        <f t="shared" si="52"/>
        <v>0</v>
      </c>
      <c r="H77" s="218"/>
      <c r="I77" s="248">
        <f t="shared" si="52"/>
        <v>0</v>
      </c>
      <c r="J77" s="279">
        <f t="shared" si="52"/>
        <v>0</v>
      </c>
      <c r="K77" s="265">
        <f t="shared" si="52"/>
        <v>0</v>
      </c>
    </row>
    <row r="78" spans="1:11" ht="23.25" thickBot="1">
      <c r="A78" s="47" t="e">
        <f>LEN(#REF!)</f>
        <v>#REF!</v>
      </c>
      <c r="B78" s="59" t="s">
        <v>143</v>
      </c>
      <c r="C78" s="60" t="s">
        <v>174</v>
      </c>
      <c r="D78" s="190"/>
      <c r="E78" s="190"/>
      <c r="F78" s="179"/>
      <c r="G78" s="191"/>
      <c r="H78" s="191"/>
      <c r="I78" s="250"/>
      <c r="J78" s="45"/>
      <c r="K78" s="269"/>
    </row>
    <row r="79" spans="1:11" ht="27" customHeight="1" thickBot="1">
      <c r="B79" s="192">
        <v>5</v>
      </c>
      <c r="C79" s="201" t="s">
        <v>144</v>
      </c>
      <c r="D79" s="193">
        <f t="shared" ref="D79:K81" si="53">SUM(D80)</f>
        <v>800000</v>
      </c>
      <c r="E79" s="193">
        <f t="shared" si="53"/>
        <v>800000</v>
      </c>
      <c r="F79" s="194">
        <f t="shared" si="53"/>
        <v>0</v>
      </c>
      <c r="G79" s="194">
        <f t="shared" si="53"/>
        <v>800000</v>
      </c>
      <c r="H79" s="194">
        <f>G79/E79*100</f>
        <v>100</v>
      </c>
      <c r="I79" s="251">
        <f t="shared" si="53"/>
        <v>0</v>
      </c>
      <c r="J79" s="282">
        <f t="shared" si="53"/>
        <v>0</v>
      </c>
      <c r="K79" s="270">
        <f t="shared" si="53"/>
        <v>800000</v>
      </c>
    </row>
    <row r="80" spans="1:11" ht="24" thickBot="1">
      <c r="B80" s="238">
        <v>54</v>
      </c>
      <c r="C80" s="230" t="s">
        <v>145</v>
      </c>
      <c r="D80" s="231">
        <f t="shared" si="53"/>
        <v>800000</v>
      </c>
      <c r="E80" s="231">
        <f t="shared" si="53"/>
        <v>800000</v>
      </c>
      <c r="F80" s="232">
        <f t="shared" si="53"/>
        <v>0</v>
      </c>
      <c r="G80" s="184">
        <f t="shared" si="53"/>
        <v>800000</v>
      </c>
      <c r="H80" s="184">
        <f>G80/E80*100</f>
        <v>100</v>
      </c>
      <c r="I80" s="252">
        <f t="shared" si="53"/>
        <v>0</v>
      </c>
      <c r="J80" s="283">
        <f t="shared" si="53"/>
        <v>0</v>
      </c>
      <c r="K80" s="271">
        <f t="shared" si="53"/>
        <v>800000</v>
      </c>
    </row>
    <row r="81" spans="2:11" ht="22.5">
      <c r="B81" s="241">
        <v>544</v>
      </c>
      <c r="C81" s="226" t="s">
        <v>146</v>
      </c>
      <c r="D81" s="227">
        <f t="shared" si="53"/>
        <v>800000</v>
      </c>
      <c r="E81" s="227">
        <f t="shared" si="53"/>
        <v>800000</v>
      </c>
      <c r="F81" s="228">
        <f t="shared" si="53"/>
        <v>0</v>
      </c>
      <c r="G81" s="229">
        <f t="shared" si="53"/>
        <v>800000</v>
      </c>
      <c r="H81" s="229">
        <f>G81/E81*100</f>
        <v>100</v>
      </c>
      <c r="I81" s="253">
        <f t="shared" si="53"/>
        <v>0</v>
      </c>
      <c r="J81" s="284">
        <f t="shared" si="53"/>
        <v>0</v>
      </c>
      <c r="K81" s="272">
        <f t="shared" si="53"/>
        <v>800000</v>
      </c>
    </row>
    <row r="82" spans="2:11" ht="23.25" thickBot="1">
      <c r="B82" s="61">
        <v>5443</v>
      </c>
      <c r="C82" s="62" t="s">
        <v>147</v>
      </c>
      <c r="D82" s="26">
        <v>800000</v>
      </c>
      <c r="E82" s="26">
        <v>800000</v>
      </c>
      <c r="F82" s="177"/>
      <c r="G82" s="178">
        <v>800000</v>
      </c>
      <c r="H82" s="301">
        <f>G82/E82*100</f>
        <v>100</v>
      </c>
      <c r="I82" s="285"/>
      <c r="J82" s="286"/>
      <c r="K82" s="287">
        <v>800000</v>
      </c>
    </row>
    <row r="83" spans="2:11" ht="33" customHeight="1" thickBot="1">
      <c r="C83" s="304" t="s">
        <v>40</v>
      </c>
      <c r="D83" s="65">
        <f>D58+D4+D79</f>
        <v>78590000</v>
      </c>
      <c r="E83" s="65">
        <f>E58+E4+E79</f>
        <v>81659732.699999988</v>
      </c>
      <c r="F83" s="46">
        <f>F58+F4+F79</f>
        <v>-9951249.6999999993</v>
      </c>
      <c r="G83" s="316">
        <f>G58+G4+G79</f>
        <v>71708483</v>
      </c>
      <c r="H83" s="46">
        <f>G83/E83*100</f>
        <v>87.813761604438866</v>
      </c>
      <c r="I83" s="46">
        <f>I58+I4+I79</f>
        <v>53462446.700000003</v>
      </c>
      <c r="J83" s="46">
        <f>J58+J4+J79</f>
        <v>8960000</v>
      </c>
      <c r="K83" s="46">
        <f>K58+K4+K79</f>
        <v>9286036</v>
      </c>
    </row>
    <row r="84" spans="2:11">
      <c r="B84" s="47" t="s">
        <v>160</v>
      </c>
      <c r="E84" s="31"/>
      <c r="J84" s="41"/>
    </row>
    <row r="85" spans="2:11">
      <c r="C85" s="47"/>
      <c r="D85" s="47"/>
    </row>
  </sheetData>
  <mergeCells count="1">
    <mergeCell ref="B2:K2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27"/>
  <sheetViews>
    <sheetView workbookViewId="0">
      <selection activeCell="C20" sqref="C20"/>
    </sheetView>
  </sheetViews>
  <sheetFormatPr defaultColWidth="11.42578125" defaultRowHeight="12.75"/>
  <cols>
    <col min="1" max="1" width="11.42578125" style="121" bestFit="1" customWidth="1"/>
    <col min="2" max="2" width="38.7109375" style="122" customWidth="1"/>
    <col min="3" max="3" width="16.5703125" style="128" customWidth="1"/>
    <col min="4" max="11" width="15.85546875" style="128" customWidth="1"/>
    <col min="12" max="12" width="15.7109375" style="128" customWidth="1"/>
    <col min="13" max="16384" width="11.42578125" style="66"/>
  </cols>
  <sheetData>
    <row r="1" spans="1:12" ht="24" customHeight="1" thickBot="1">
      <c r="A1" s="338" t="s">
        <v>254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s="70" customFormat="1" ht="57" thickBot="1">
      <c r="A2" s="67" t="s">
        <v>182</v>
      </c>
      <c r="B2" s="68" t="s">
        <v>0</v>
      </c>
      <c r="C2" s="327" t="s">
        <v>183</v>
      </c>
      <c r="D2" s="339" t="s">
        <v>184</v>
      </c>
      <c r="E2" s="340"/>
      <c r="F2" s="69" t="s">
        <v>185</v>
      </c>
      <c r="G2" s="69" t="s">
        <v>186</v>
      </c>
      <c r="H2" s="69" t="s">
        <v>187</v>
      </c>
      <c r="I2" s="69" t="s">
        <v>188</v>
      </c>
      <c r="J2" s="69" t="s">
        <v>189</v>
      </c>
      <c r="K2" s="69" t="s">
        <v>190</v>
      </c>
      <c r="L2" s="328" t="s">
        <v>191</v>
      </c>
    </row>
    <row r="3" spans="1:12" ht="13.5" thickBot="1">
      <c r="A3" s="71"/>
      <c r="B3" s="72"/>
      <c r="C3" s="73"/>
      <c r="D3" s="74" t="s">
        <v>192</v>
      </c>
      <c r="E3" s="74" t="s">
        <v>265</v>
      </c>
      <c r="F3" s="75">
        <v>3211</v>
      </c>
      <c r="G3" s="75" t="s">
        <v>193</v>
      </c>
      <c r="H3" s="75">
        <v>5211</v>
      </c>
      <c r="I3" s="75">
        <v>6211</v>
      </c>
      <c r="J3" s="75">
        <v>7311</v>
      </c>
      <c r="K3" s="75">
        <v>8311</v>
      </c>
      <c r="L3" s="75" t="s">
        <v>266</v>
      </c>
    </row>
    <row r="4" spans="1:12" s="70" customFormat="1" ht="15">
      <c r="A4" s="76"/>
      <c r="B4" s="129" t="s">
        <v>194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5.75">
      <c r="A5" s="78"/>
      <c r="B5" s="130" t="s">
        <v>195</v>
      </c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70" customFormat="1" ht="25.5">
      <c r="A6" s="81" t="s">
        <v>196</v>
      </c>
      <c r="B6" s="82" t="s">
        <v>197</v>
      </c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s="70" customFormat="1" ht="28.5" customHeight="1">
      <c r="A7" s="84" t="s">
        <v>198</v>
      </c>
      <c r="B7" s="85" t="s">
        <v>199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>
      <c r="A8" s="87">
        <v>3111</v>
      </c>
      <c r="B8" s="79" t="s">
        <v>1</v>
      </c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>
      <c r="A9" s="87">
        <v>3121</v>
      </c>
      <c r="B9" s="79" t="s">
        <v>2</v>
      </c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>
      <c r="A10" s="87">
        <v>3131</v>
      </c>
      <c r="B10" s="79" t="s">
        <v>200</v>
      </c>
      <c r="C10" s="80"/>
      <c r="D10" s="80"/>
      <c r="E10" s="80"/>
      <c r="F10" s="80"/>
      <c r="G10" s="80"/>
      <c r="H10" s="80"/>
      <c r="I10" s="80"/>
      <c r="J10" s="80" t="s">
        <v>162</v>
      </c>
      <c r="K10" s="80"/>
      <c r="L10" s="80"/>
    </row>
    <row r="11" spans="1:12">
      <c r="A11" s="87">
        <v>3132</v>
      </c>
      <c r="B11" s="79" t="s">
        <v>3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25.5">
      <c r="A12" s="87">
        <v>3133</v>
      </c>
      <c r="B12" s="79" t="s">
        <v>201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>
      <c r="A13" s="87">
        <v>3211</v>
      </c>
      <c r="B13" s="79" t="s">
        <v>4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ht="25.5">
      <c r="A14" s="87">
        <v>3212</v>
      </c>
      <c r="B14" s="79" t="s">
        <v>202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>
      <c r="A15" s="87">
        <v>3213</v>
      </c>
      <c r="B15" s="79" t="s">
        <v>5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>
      <c r="A16" s="87">
        <v>3214</v>
      </c>
      <c r="B16" s="79" t="s">
        <v>6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>
      <c r="A17" s="87">
        <v>3221</v>
      </c>
      <c r="B17" s="79" t="s">
        <v>203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2">
      <c r="A18" s="87">
        <v>3222</v>
      </c>
      <c r="B18" s="79" t="s">
        <v>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>
      <c r="A19" s="87">
        <v>3223</v>
      </c>
      <c r="B19" s="79" t="s">
        <v>8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ht="25.5">
      <c r="A20" s="87">
        <v>3224</v>
      </c>
      <c r="B20" s="79" t="s">
        <v>204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>
      <c r="A21" s="87">
        <v>3225</v>
      </c>
      <c r="B21" s="79" t="s">
        <v>9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>
      <c r="A22" s="87">
        <v>3227</v>
      </c>
      <c r="B22" s="79" t="s">
        <v>10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>
      <c r="A23" s="87">
        <v>3231</v>
      </c>
      <c r="B23" s="79" t="s">
        <v>11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>
      <c r="A24" s="87">
        <v>3232</v>
      </c>
      <c r="B24" s="79" t="s">
        <v>205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>
      <c r="A25" s="87">
        <v>3233</v>
      </c>
      <c r="B25" s="79" t="s">
        <v>12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12">
      <c r="A26" s="87">
        <v>3234</v>
      </c>
      <c r="B26" s="79" t="s">
        <v>13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>
      <c r="A27" s="87">
        <v>3235</v>
      </c>
      <c r="B27" s="79" t="s">
        <v>14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>
      <c r="A28" s="87">
        <v>3236</v>
      </c>
      <c r="B28" s="79" t="s">
        <v>15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12">
      <c r="A29" s="87">
        <v>3237</v>
      </c>
      <c r="B29" s="79" t="s">
        <v>16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1:12">
      <c r="A30" s="87">
        <v>3238</v>
      </c>
      <c r="B30" s="79" t="s">
        <v>17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12">
      <c r="A31" s="87">
        <v>3239</v>
      </c>
      <c r="B31" s="79" t="s">
        <v>18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1:12">
      <c r="A32" s="87">
        <v>3291</v>
      </c>
      <c r="B32" s="79" t="s">
        <v>206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1:12">
      <c r="A33" s="87">
        <v>3292</v>
      </c>
      <c r="B33" s="79" t="s">
        <v>207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>
      <c r="A34" s="87">
        <v>3293</v>
      </c>
      <c r="B34" s="79" t="s">
        <v>19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>
      <c r="A35" s="87">
        <v>3294</v>
      </c>
      <c r="B35" s="79" t="s">
        <v>208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1:12">
      <c r="A36" s="87">
        <v>3295</v>
      </c>
      <c r="B36" s="79" t="s">
        <v>20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>
      <c r="A37" s="87">
        <v>3299</v>
      </c>
      <c r="B37" s="79" t="s">
        <v>21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>
      <c r="A38" s="87">
        <v>3431</v>
      </c>
      <c r="B38" s="79" t="s">
        <v>209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>
      <c r="A39" s="87">
        <v>3434</v>
      </c>
      <c r="B39" s="79" t="s">
        <v>22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s="91" customFormat="1" ht="25.5">
      <c r="A40" s="88" t="s">
        <v>198</v>
      </c>
      <c r="B40" s="89" t="s">
        <v>210</v>
      </c>
      <c r="C40" s="90">
        <f>SUM(C41:C76)</f>
        <v>51877446.700000003</v>
      </c>
      <c r="D40" s="90">
        <f>SUM(D41:D76)</f>
        <v>0</v>
      </c>
      <c r="E40" s="90">
        <f t="shared" ref="E40:L40" si="0">SUM(E41:E76)</f>
        <v>0</v>
      </c>
      <c r="F40" s="90">
        <f t="shared" si="0"/>
        <v>0</v>
      </c>
      <c r="G40" s="90">
        <f t="shared" si="0"/>
        <v>48967430</v>
      </c>
      <c r="H40" s="90">
        <f t="shared" si="0"/>
        <v>0</v>
      </c>
      <c r="I40" s="90">
        <f t="shared" si="0"/>
        <v>500000</v>
      </c>
      <c r="J40" s="90">
        <f t="shared" si="0"/>
        <v>300000</v>
      </c>
      <c r="K40" s="90">
        <f t="shared" si="0"/>
        <v>0</v>
      </c>
      <c r="L40" s="90">
        <f t="shared" si="0"/>
        <v>2110016.6999999997</v>
      </c>
    </row>
    <row r="41" spans="1:12">
      <c r="A41" s="87">
        <v>3111</v>
      </c>
      <c r="B41" s="79" t="s">
        <v>1</v>
      </c>
      <c r="C41" s="80">
        <f>SUM(D41:L41)</f>
        <v>21839200</v>
      </c>
      <c r="D41" s="80"/>
      <c r="E41" s="80"/>
      <c r="F41" s="80"/>
      <c r="G41" s="92">
        <f>22989200-L41-G78</f>
        <v>21764673.870000001</v>
      </c>
      <c r="H41" s="93"/>
      <c r="I41" s="80"/>
      <c r="J41" s="80"/>
      <c r="K41" s="80"/>
      <c r="L41" s="317">
        <v>74526.13</v>
      </c>
    </row>
    <row r="42" spans="1:12">
      <c r="A42" s="87">
        <v>3112</v>
      </c>
      <c r="B42" s="79" t="s">
        <v>211</v>
      </c>
      <c r="C42" s="80">
        <f t="shared" ref="C42:C76" si="1">SUM(D42:L42)</f>
        <v>0</v>
      </c>
      <c r="D42" s="80"/>
      <c r="E42" s="80"/>
      <c r="F42" s="80"/>
      <c r="G42" s="92"/>
      <c r="H42" s="80"/>
      <c r="I42" s="80"/>
      <c r="J42" s="80"/>
      <c r="K42" s="80"/>
      <c r="L42" s="317"/>
    </row>
    <row r="43" spans="1:12">
      <c r="A43" s="87">
        <v>3113</v>
      </c>
      <c r="B43" s="79" t="s">
        <v>23</v>
      </c>
      <c r="C43" s="80">
        <f t="shared" si="1"/>
        <v>954000</v>
      </c>
      <c r="D43" s="80"/>
      <c r="E43" s="80"/>
      <c r="F43" s="80"/>
      <c r="G43" s="92">
        <v>954000</v>
      </c>
      <c r="H43" s="80"/>
      <c r="I43" s="80"/>
      <c r="J43" s="80"/>
      <c r="K43" s="80"/>
      <c r="L43" s="317"/>
    </row>
    <row r="44" spans="1:12">
      <c r="A44" s="87">
        <v>3114</v>
      </c>
      <c r="B44" s="79" t="s">
        <v>24</v>
      </c>
      <c r="C44" s="80">
        <f t="shared" si="1"/>
        <v>2719000</v>
      </c>
      <c r="D44" s="80"/>
      <c r="E44" s="80"/>
      <c r="F44" s="80"/>
      <c r="G44" s="92">
        <f>2844000-125000</f>
        <v>2719000</v>
      </c>
      <c r="H44" s="80"/>
      <c r="I44" s="80"/>
      <c r="J44" s="80"/>
      <c r="K44" s="80"/>
      <c r="L44" s="318"/>
    </row>
    <row r="45" spans="1:12">
      <c r="A45" s="87">
        <v>3121</v>
      </c>
      <c r="B45" s="79" t="s">
        <v>2</v>
      </c>
      <c r="C45" s="80">
        <f t="shared" si="1"/>
        <v>1010000</v>
      </c>
      <c r="D45" s="80"/>
      <c r="E45" s="80"/>
      <c r="F45" s="80"/>
      <c r="G45" s="92">
        <f>1040000-30000</f>
        <v>1010000</v>
      </c>
      <c r="H45" s="80"/>
      <c r="I45" s="80"/>
      <c r="J45" s="80"/>
      <c r="K45" s="80"/>
      <c r="L45" s="317"/>
    </row>
    <row r="46" spans="1:12">
      <c r="A46" s="87">
        <v>3131</v>
      </c>
      <c r="B46" s="79" t="s">
        <v>200</v>
      </c>
      <c r="C46" s="80">
        <f t="shared" si="1"/>
        <v>0</v>
      </c>
      <c r="D46" s="80"/>
      <c r="E46" s="80"/>
      <c r="F46" s="80"/>
      <c r="G46" s="92"/>
      <c r="H46" s="80"/>
      <c r="I46" s="80"/>
      <c r="J46" s="80"/>
      <c r="K46" s="80"/>
      <c r="L46" s="317"/>
    </row>
    <row r="47" spans="1:12">
      <c r="A47" s="87">
        <v>3132</v>
      </c>
      <c r="B47" s="79" t="s">
        <v>3</v>
      </c>
      <c r="C47" s="80">
        <f t="shared" si="1"/>
        <v>4207700</v>
      </c>
      <c r="D47" s="80"/>
      <c r="E47" s="80"/>
      <c r="F47" s="80"/>
      <c r="G47" s="92">
        <f>4417700-G82</f>
        <v>4207700</v>
      </c>
      <c r="H47" s="80"/>
      <c r="I47" s="80"/>
      <c r="J47" s="80"/>
      <c r="K47" s="80"/>
      <c r="L47" s="317"/>
    </row>
    <row r="48" spans="1:12" ht="25.5">
      <c r="A48" s="87">
        <v>3133</v>
      </c>
      <c r="B48" s="79" t="s">
        <v>201</v>
      </c>
      <c r="C48" s="80">
        <f t="shared" si="1"/>
        <v>299.7</v>
      </c>
      <c r="D48" s="80"/>
      <c r="E48" s="80"/>
      <c r="F48" s="80"/>
      <c r="G48" s="92">
        <f>300-0.3</f>
        <v>299.7</v>
      </c>
      <c r="H48" s="80"/>
      <c r="I48" s="92"/>
      <c r="J48" s="80"/>
      <c r="K48" s="80"/>
      <c r="L48" s="317"/>
    </row>
    <row r="49" spans="1:12">
      <c r="A49" s="87">
        <v>3211</v>
      </c>
      <c r="B49" s="79" t="s">
        <v>4</v>
      </c>
      <c r="C49" s="80">
        <f t="shared" si="1"/>
        <v>72000</v>
      </c>
      <c r="D49" s="80"/>
      <c r="E49" s="80"/>
      <c r="F49" s="80"/>
      <c r="G49" s="94">
        <f>72000-I49</f>
        <v>52000</v>
      </c>
      <c r="H49" s="80"/>
      <c r="I49" s="92">
        <v>20000</v>
      </c>
      <c r="J49" s="80"/>
      <c r="K49" s="80"/>
      <c r="L49" s="317"/>
    </row>
    <row r="50" spans="1:12" ht="25.5">
      <c r="A50" s="87">
        <v>3212</v>
      </c>
      <c r="B50" s="79" t="s">
        <v>202</v>
      </c>
      <c r="C50" s="80">
        <f t="shared" si="1"/>
        <v>666000</v>
      </c>
      <c r="D50" s="80"/>
      <c r="E50" s="80"/>
      <c r="F50" s="80"/>
      <c r="G50" s="92">
        <f>736000-70000</f>
        <v>666000</v>
      </c>
      <c r="H50" s="80"/>
      <c r="I50" s="92"/>
      <c r="J50" s="80"/>
      <c r="K50" s="80"/>
      <c r="L50" s="317"/>
    </row>
    <row r="51" spans="1:12">
      <c r="A51" s="87">
        <v>3213</v>
      </c>
      <c r="B51" s="79" t="s">
        <v>5</v>
      </c>
      <c r="C51" s="80">
        <f t="shared" si="1"/>
        <v>144000</v>
      </c>
      <c r="D51" s="80"/>
      <c r="E51" s="80"/>
      <c r="F51" s="80"/>
      <c r="G51" s="94">
        <f>144000-I51</f>
        <v>94000</v>
      </c>
      <c r="H51" s="80"/>
      <c r="I51" s="92">
        <v>50000</v>
      </c>
      <c r="J51" s="80"/>
      <c r="K51" s="80"/>
      <c r="L51" s="317"/>
    </row>
    <row r="52" spans="1:12">
      <c r="A52" s="87">
        <v>3214</v>
      </c>
      <c r="B52" s="79" t="s">
        <v>6</v>
      </c>
      <c r="C52" s="80">
        <f t="shared" si="1"/>
        <v>10000</v>
      </c>
      <c r="D52" s="80"/>
      <c r="E52" s="80"/>
      <c r="F52" s="80"/>
      <c r="G52" s="92">
        <v>10000</v>
      </c>
      <c r="H52" s="80"/>
      <c r="I52" s="92"/>
      <c r="J52" s="80"/>
      <c r="K52" s="80"/>
      <c r="L52" s="317"/>
    </row>
    <row r="53" spans="1:12">
      <c r="A53" s="87">
        <v>3221</v>
      </c>
      <c r="B53" s="79" t="s">
        <v>203</v>
      </c>
      <c r="C53" s="80">
        <f t="shared" si="1"/>
        <v>480000</v>
      </c>
      <c r="D53" s="80"/>
      <c r="E53" s="80"/>
      <c r="F53" s="80"/>
      <c r="G53" s="92">
        <v>480000</v>
      </c>
      <c r="H53" s="80"/>
      <c r="I53" s="92"/>
      <c r="J53" s="80"/>
      <c r="K53" s="80"/>
      <c r="L53" s="317"/>
    </row>
    <row r="54" spans="1:12">
      <c r="A54" s="87">
        <v>3222</v>
      </c>
      <c r="B54" s="79" t="s">
        <v>7</v>
      </c>
      <c r="C54" s="80">
        <f t="shared" si="1"/>
        <v>11929300</v>
      </c>
      <c r="D54" s="80"/>
      <c r="E54" s="80"/>
      <c r="F54" s="80"/>
      <c r="G54" s="94">
        <f>12129300-I54-200000-200000</f>
        <v>11299300</v>
      </c>
      <c r="H54" s="80"/>
      <c r="I54" s="92">
        <f>400000+30000</f>
        <v>430000</v>
      </c>
      <c r="J54" s="80">
        <v>200000</v>
      </c>
      <c r="K54" s="80"/>
      <c r="L54" s="317"/>
    </row>
    <row r="55" spans="1:12">
      <c r="A55" s="87">
        <v>3223</v>
      </c>
      <c r="B55" s="79" t="s">
        <v>8</v>
      </c>
      <c r="C55" s="80">
        <f t="shared" si="1"/>
        <v>1760000</v>
      </c>
      <c r="D55" s="80"/>
      <c r="E55" s="80"/>
      <c r="F55" s="80"/>
      <c r="G55" s="92">
        <v>1760000</v>
      </c>
      <c r="H55" s="80"/>
      <c r="I55" s="92"/>
      <c r="J55" s="80"/>
      <c r="K55" s="80"/>
      <c r="L55" s="317"/>
    </row>
    <row r="56" spans="1:12" ht="25.5">
      <c r="A56" s="87">
        <v>3224</v>
      </c>
      <c r="B56" s="79" t="s">
        <v>204</v>
      </c>
      <c r="C56" s="80">
        <f t="shared" si="1"/>
        <v>140000</v>
      </c>
      <c r="D56" s="80"/>
      <c r="E56" s="80"/>
      <c r="F56" s="80"/>
      <c r="G56" s="92">
        <v>140000</v>
      </c>
      <c r="H56" s="80"/>
      <c r="I56" s="80"/>
      <c r="J56" s="80"/>
      <c r="K56" s="80"/>
      <c r="L56" s="317"/>
    </row>
    <row r="57" spans="1:12">
      <c r="A57" s="87">
        <v>3225</v>
      </c>
      <c r="B57" s="79" t="s">
        <v>9</v>
      </c>
      <c r="C57" s="80">
        <f t="shared" si="1"/>
        <v>168000</v>
      </c>
      <c r="D57" s="80"/>
      <c r="E57" s="80"/>
      <c r="F57" s="80"/>
      <c r="G57" s="92">
        <f>168000-L57</f>
        <v>148000</v>
      </c>
      <c r="H57" s="80"/>
      <c r="I57" s="80"/>
      <c r="J57" s="80"/>
      <c r="K57" s="80"/>
      <c r="L57" s="317">
        <v>20000</v>
      </c>
    </row>
    <row r="58" spans="1:12">
      <c r="A58" s="87">
        <v>3227</v>
      </c>
      <c r="B58" s="79" t="s">
        <v>10</v>
      </c>
      <c r="C58" s="80">
        <f t="shared" si="1"/>
        <v>120000</v>
      </c>
      <c r="D58" s="80"/>
      <c r="E58" s="80"/>
      <c r="F58" s="80"/>
      <c r="G58" s="92">
        <v>120000</v>
      </c>
      <c r="H58" s="80"/>
      <c r="I58" s="80"/>
      <c r="J58" s="80"/>
      <c r="K58" s="80"/>
      <c r="L58" s="317"/>
    </row>
    <row r="59" spans="1:12">
      <c r="A59" s="87">
        <v>3231</v>
      </c>
      <c r="B59" s="79" t="s">
        <v>11</v>
      </c>
      <c r="C59" s="80">
        <f t="shared" si="1"/>
        <v>168000</v>
      </c>
      <c r="D59" s="80"/>
      <c r="E59" s="80"/>
      <c r="F59" s="80"/>
      <c r="G59" s="92">
        <v>168000</v>
      </c>
      <c r="H59" s="80"/>
      <c r="I59" s="80"/>
      <c r="J59" s="92"/>
      <c r="K59" s="80"/>
      <c r="L59" s="317"/>
    </row>
    <row r="60" spans="1:12">
      <c r="A60" s="87">
        <v>3232</v>
      </c>
      <c r="B60" s="79" t="s">
        <v>205</v>
      </c>
      <c r="C60" s="80">
        <f t="shared" si="1"/>
        <v>2284947</v>
      </c>
      <c r="D60" s="80"/>
      <c r="E60" s="80"/>
      <c r="F60" s="80"/>
      <c r="G60" s="94">
        <f>1612983-L60+200000-J60+471964</f>
        <v>529660.43000000017</v>
      </c>
      <c r="H60" s="80"/>
      <c r="I60" s="80"/>
      <c r="J60" s="92">
        <f>300000-200000</f>
        <v>100000</v>
      </c>
      <c r="K60" s="80"/>
      <c r="L60" s="317">
        <f>1393086.19+262200.38</f>
        <v>1655286.5699999998</v>
      </c>
    </row>
    <row r="61" spans="1:12" ht="15.75" customHeight="1">
      <c r="A61" s="87">
        <v>3233</v>
      </c>
      <c r="B61" s="79" t="s">
        <v>12</v>
      </c>
      <c r="C61" s="80">
        <f t="shared" si="1"/>
        <v>95000</v>
      </c>
      <c r="D61" s="80"/>
      <c r="E61" s="80"/>
      <c r="F61" s="80"/>
      <c r="G61" s="92">
        <v>95000</v>
      </c>
      <c r="H61" s="80"/>
      <c r="I61" s="80"/>
      <c r="J61" s="92"/>
      <c r="K61" s="80"/>
      <c r="L61" s="319"/>
    </row>
    <row r="62" spans="1:12">
      <c r="A62" s="87">
        <v>3234</v>
      </c>
      <c r="B62" s="79" t="s">
        <v>13</v>
      </c>
      <c r="C62" s="80">
        <f t="shared" si="1"/>
        <v>765000</v>
      </c>
      <c r="D62" s="80"/>
      <c r="E62" s="80"/>
      <c r="F62" s="80"/>
      <c r="G62" s="92">
        <v>765000</v>
      </c>
      <c r="H62" s="80"/>
      <c r="I62" s="80"/>
      <c r="J62" s="92"/>
      <c r="K62" s="80"/>
      <c r="L62" s="80"/>
    </row>
    <row r="63" spans="1:12">
      <c r="A63" s="87">
        <v>3235</v>
      </c>
      <c r="B63" s="79" t="s">
        <v>14</v>
      </c>
      <c r="C63" s="80">
        <f t="shared" si="1"/>
        <v>360000</v>
      </c>
      <c r="D63" s="80"/>
      <c r="E63" s="80"/>
      <c r="F63" s="80"/>
      <c r="G63" s="92">
        <f>360000-L63</f>
        <v>110000</v>
      </c>
      <c r="H63" s="80"/>
      <c r="I63" s="80"/>
      <c r="J63" s="92"/>
      <c r="K63" s="80"/>
      <c r="L63" s="320">
        <v>250000</v>
      </c>
    </row>
    <row r="64" spans="1:12">
      <c r="A64" s="87">
        <v>3236</v>
      </c>
      <c r="B64" s="79" t="s">
        <v>15</v>
      </c>
      <c r="C64" s="80">
        <f t="shared" si="1"/>
        <v>432000</v>
      </c>
      <c r="D64" s="80"/>
      <c r="E64" s="80"/>
      <c r="F64" s="80"/>
      <c r="G64" s="92">
        <v>432000</v>
      </c>
      <c r="H64" s="80"/>
      <c r="I64" s="80"/>
      <c r="J64" s="92"/>
      <c r="K64" s="80"/>
      <c r="L64" s="320"/>
    </row>
    <row r="65" spans="1:12">
      <c r="A65" s="87">
        <v>3237</v>
      </c>
      <c r="B65" s="79" t="s">
        <v>16</v>
      </c>
      <c r="C65" s="80">
        <f t="shared" si="1"/>
        <v>360000</v>
      </c>
      <c r="D65" s="80"/>
      <c r="E65" s="80"/>
      <c r="F65" s="80"/>
      <c r="G65" s="92">
        <f>360000-L65</f>
        <v>315000</v>
      </c>
      <c r="H65" s="80"/>
      <c r="I65" s="80"/>
      <c r="J65" s="92"/>
      <c r="K65" s="80"/>
      <c r="L65" s="320">
        <v>45000</v>
      </c>
    </row>
    <row r="66" spans="1:12">
      <c r="A66" s="87">
        <v>3238</v>
      </c>
      <c r="B66" s="79" t="s">
        <v>17</v>
      </c>
      <c r="C66" s="80">
        <f t="shared" si="1"/>
        <v>376000</v>
      </c>
      <c r="D66" s="80"/>
      <c r="E66" s="80"/>
      <c r="F66" s="80"/>
      <c r="G66" s="92">
        <f>376000-L66</f>
        <v>310796</v>
      </c>
      <c r="H66" s="80"/>
      <c r="I66" s="80"/>
      <c r="J66" s="92"/>
      <c r="K66" s="80"/>
      <c r="L66" s="321">
        <v>65204</v>
      </c>
    </row>
    <row r="67" spans="1:12">
      <c r="A67" s="87">
        <v>3239</v>
      </c>
      <c r="B67" s="79" t="s">
        <v>18</v>
      </c>
      <c r="C67" s="80">
        <f t="shared" si="1"/>
        <v>360000</v>
      </c>
      <c r="D67" s="80"/>
      <c r="E67" s="80"/>
      <c r="F67" s="80"/>
      <c r="G67" s="92">
        <v>360000</v>
      </c>
      <c r="H67" s="80"/>
      <c r="I67" s="80"/>
      <c r="J67" s="92"/>
      <c r="K67" s="80"/>
      <c r="L67" s="320"/>
    </row>
    <row r="68" spans="1:12">
      <c r="A68" s="87">
        <v>3241</v>
      </c>
      <c r="B68" s="79" t="s">
        <v>212</v>
      </c>
      <c r="C68" s="80">
        <f t="shared" si="1"/>
        <v>36000</v>
      </c>
      <c r="D68" s="80"/>
      <c r="E68" s="80"/>
      <c r="F68" s="80"/>
      <c r="G68" s="92">
        <v>36000</v>
      </c>
      <c r="H68" s="95"/>
      <c r="I68" s="80"/>
      <c r="J68" s="92"/>
      <c r="K68" s="80"/>
      <c r="L68" s="80"/>
    </row>
    <row r="69" spans="1:12">
      <c r="A69" s="87">
        <v>3291</v>
      </c>
      <c r="B69" s="79" t="s">
        <v>206</v>
      </c>
      <c r="C69" s="80">
        <f t="shared" si="1"/>
        <v>47000</v>
      </c>
      <c r="D69" s="80"/>
      <c r="E69" s="80"/>
      <c r="F69" s="80"/>
      <c r="G69" s="92">
        <v>47000</v>
      </c>
      <c r="H69" s="80"/>
      <c r="I69" s="80"/>
      <c r="J69" s="92"/>
      <c r="K69" s="80"/>
      <c r="L69" s="80"/>
    </row>
    <row r="70" spans="1:12">
      <c r="A70" s="87">
        <v>3292</v>
      </c>
      <c r="B70" s="79" t="s">
        <v>207</v>
      </c>
      <c r="C70" s="80">
        <f t="shared" si="1"/>
        <v>176000</v>
      </c>
      <c r="D70" s="80"/>
      <c r="E70" s="80"/>
      <c r="F70" s="80"/>
      <c r="G70" s="92">
        <v>176000</v>
      </c>
      <c r="H70" s="80"/>
      <c r="I70" s="80"/>
      <c r="J70" s="92"/>
      <c r="K70" s="80"/>
      <c r="L70" s="80"/>
    </row>
    <row r="71" spans="1:12">
      <c r="A71" s="87">
        <v>3293</v>
      </c>
      <c r="B71" s="79" t="s">
        <v>19</v>
      </c>
      <c r="C71" s="80">
        <f t="shared" si="1"/>
        <v>0</v>
      </c>
      <c r="D71" s="80"/>
      <c r="E71" s="80"/>
      <c r="F71" s="80"/>
      <c r="G71" s="92"/>
      <c r="H71" s="80"/>
      <c r="I71" s="80"/>
      <c r="J71" s="92"/>
      <c r="K71" s="80"/>
      <c r="L71" s="80"/>
    </row>
    <row r="72" spans="1:12">
      <c r="A72" s="87">
        <v>3294</v>
      </c>
      <c r="B72" s="79" t="s">
        <v>208</v>
      </c>
      <c r="C72" s="80">
        <f t="shared" si="1"/>
        <v>19000</v>
      </c>
      <c r="D72" s="80"/>
      <c r="E72" s="80"/>
      <c r="F72" s="80"/>
      <c r="G72" s="92">
        <v>19000</v>
      </c>
      <c r="H72" s="80"/>
      <c r="I72" s="80"/>
      <c r="J72" s="80"/>
      <c r="K72" s="80"/>
      <c r="L72" s="80"/>
    </row>
    <row r="73" spans="1:12">
      <c r="A73" s="87">
        <v>3295</v>
      </c>
      <c r="B73" s="79" t="s">
        <v>20</v>
      </c>
      <c r="C73" s="80">
        <f>SUM(D73:L73)</f>
        <v>56000</v>
      </c>
      <c r="D73" s="80"/>
      <c r="E73" s="80"/>
      <c r="F73" s="80"/>
      <c r="G73" s="92">
        <v>56000</v>
      </c>
      <c r="H73" s="80"/>
      <c r="I73" s="80"/>
      <c r="J73" s="80"/>
      <c r="K73" s="80"/>
      <c r="L73" s="80"/>
    </row>
    <row r="74" spans="1:12">
      <c r="A74" s="87">
        <v>3299</v>
      </c>
      <c r="B74" s="79" t="s">
        <v>21</v>
      </c>
      <c r="C74" s="80">
        <f t="shared" si="1"/>
        <v>28000</v>
      </c>
      <c r="D74" s="80"/>
      <c r="E74" s="80"/>
      <c r="F74" s="80"/>
      <c r="G74" s="92">
        <v>28000</v>
      </c>
      <c r="H74" s="80"/>
      <c r="I74" s="92"/>
      <c r="J74" s="80"/>
      <c r="K74" s="80"/>
      <c r="L74" s="80"/>
    </row>
    <row r="75" spans="1:12">
      <c r="A75" s="87">
        <v>3431</v>
      </c>
      <c r="B75" s="79" t="s">
        <v>209</v>
      </c>
      <c r="C75" s="80">
        <f>SUM(D75:L75)</f>
        <v>20000</v>
      </c>
      <c r="D75" s="80"/>
      <c r="E75" s="80"/>
      <c r="F75" s="80"/>
      <c r="G75" s="92">
        <v>20000</v>
      </c>
      <c r="H75" s="80"/>
      <c r="I75" s="80"/>
      <c r="J75" s="80"/>
      <c r="K75" s="80"/>
      <c r="L75" s="80"/>
    </row>
    <row r="76" spans="1:12">
      <c r="A76" s="87">
        <v>3434</v>
      </c>
      <c r="B76" s="79" t="s">
        <v>22</v>
      </c>
      <c r="C76" s="80">
        <f t="shared" si="1"/>
        <v>75000</v>
      </c>
      <c r="D76" s="80"/>
      <c r="E76" s="80"/>
      <c r="F76" s="80"/>
      <c r="G76" s="92">
        <v>75000</v>
      </c>
      <c r="H76" s="80"/>
      <c r="I76" s="80"/>
      <c r="J76" s="80"/>
      <c r="K76" s="80"/>
      <c r="L76" s="80"/>
    </row>
    <row r="77" spans="1:12" s="91" customFormat="1">
      <c r="A77" s="96" t="s">
        <v>198</v>
      </c>
      <c r="B77" s="97" t="s">
        <v>213</v>
      </c>
      <c r="C77" s="98">
        <f>SUM(C78:C84)</f>
        <v>1585000</v>
      </c>
      <c r="D77" s="98">
        <f>SUM(D78:D84)</f>
        <v>0</v>
      </c>
      <c r="E77" s="98">
        <f t="shared" ref="E77:L77" si="2">SUM(E78:E84)</f>
        <v>0</v>
      </c>
      <c r="F77" s="98">
        <f t="shared" si="2"/>
        <v>0</v>
      </c>
      <c r="G77" s="98">
        <f t="shared" si="2"/>
        <v>1585000</v>
      </c>
      <c r="H77" s="98">
        <f t="shared" si="2"/>
        <v>0</v>
      </c>
      <c r="I77" s="98">
        <f t="shared" si="2"/>
        <v>0</v>
      </c>
      <c r="J77" s="98">
        <f t="shared" si="2"/>
        <v>0</v>
      </c>
      <c r="K77" s="98">
        <f t="shared" si="2"/>
        <v>0</v>
      </c>
      <c r="L77" s="98">
        <f t="shared" si="2"/>
        <v>0</v>
      </c>
    </row>
    <row r="78" spans="1:12">
      <c r="A78" s="87">
        <v>3111</v>
      </c>
      <c r="B78" s="79" t="s">
        <v>1</v>
      </c>
      <c r="C78" s="80">
        <f>SUM(D78:L78)</f>
        <v>1150000</v>
      </c>
      <c r="D78" s="80"/>
      <c r="E78" s="80"/>
      <c r="F78" s="80"/>
      <c r="G78" s="92">
        <f>1190000-40000</f>
        <v>1150000</v>
      </c>
      <c r="H78" s="80"/>
      <c r="I78" s="80"/>
      <c r="J78" s="80"/>
      <c r="K78" s="80"/>
      <c r="L78" s="80"/>
    </row>
    <row r="79" spans="1:12">
      <c r="A79" s="87">
        <v>3114</v>
      </c>
      <c r="B79" s="79" t="s">
        <v>214</v>
      </c>
      <c r="C79" s="80">
        <f t="shared" ref="C79:C84" si="3">SUM(D79:L79)</f>
        <v>125000</v>
      </c>
      <c r="D79" s="80"/>
      <c r="E79" s="80"/>
      <c r="F79" s="80"/>
      <c r="G79" s="92">
        <v>125000</v>
      </c>
      <c r="H79" s="80"/>
      <c r="I79" s="80"/>
      <c r="J79" s="80"/>
      <c r="K79" s="80"/>
      <c r="L79" s="80"/>
    </row>
    <row r="80" spans="1:12">
      <c r="A80" s="87">
        <v>3121</v>
      </c>
      <c r="B80" s="79" t="s">
        <v>2</v>
      </c>
      <c r="C80" s="80">
        <f t="shared" si="3"/>
        <v>30000</v>
      </c>
      <c r="D80" s="80"/>
      <c r="E80" s="80"/>
      <c r="F80" s="80"/>
      <c r="G80" s="92">
        <v>30000</v>
      </c>
      <c r="H80" s="80"/>
      <c r="I80" s="80"/>
      <c r="J80" s="80"/>
      <c r="K80" s="80"/>
      <c r="L80" s="80"/>
    </row>
    <row r="81" spans="1:12">
      <c r="A81" s="87">
        <v>3131</v>
      </c>
      <c r="B81" s="99" t="s">
        <v>200</v>
      </c>
      <c r="C81" s="80">
        <f t="shared" si="3"/>
        <v>0</v>
      </c>
      <c r="D81" s="80"/>
      <c r="E81" s="80"/>
      <c r="F81" s="80"/>
      <c r="G81" s="92"/>
      <c r="H81" s="80"/>
      <c r="I81" s="80"/>
      <c r="J81" s="80"/>
      <c r="K81" s="80"/>
      <c r="L81" s="80"/>
    </row>
    <row r="82" spans="1:12">
      <c r="A82" s="87">
        <v>3132</v>
      </c>
      <c r="B82" s="79" t="s">
        <v>3</v>
      </c>
      <c r="C82" s="80">
        <f t="shared" si="3"/>
        <v>210000</v>
      </c>
      <c r="D82" s="80"/>
      <c r="E82" s="80"/>
      <c r="F82" s="80"/>
      <c r="G82" s="92">
        <v>210000</v>
      </c>
      <c r="H82" s="80"/>
      <c r="I82" s="80"/>
      <c r="J82" s="80"/>
      <c r="K82" s="80"/>
      <c r="L82" s="80"/>
    </row>
    <row r="83" spans="1:12" ht="25.5">
      <c r="A83" s="87">
        <v>3133</v>
      </c>
      <c r="B83" s="99" t="s">
        <v>201</v>
      </c>
      <c r="C83" s="80">
        <f t="shared" si="3"/>
        <v>0</v>
      </c>
      <c r="D83" s="80"/>
      <c r="E83" s="80"/>
      <c r="F83" s="80"/>
      <c r="G83" s="92"/>
      <c r="H83" s="80"/>
      <c r="I83" s="80"/>
      <c r="J83" s="80"/>
      <c r="K83" s="80"/>
      <c r="L83" s="80"/>
    </row>
    <row r="84" spans="1:12" ht="25.5">
      <c r="A84" s="87">
        <v>3212</v>
      </c>
      <c r="B84" s="79" t="s">
        <v>202</v>
      </c>
      <c r="C84" s="80">
        <f t="shared" si="3"/>
        <v>70000</v>
      </c>
      <c r="D84" s="80"/>
      <c r="E84" s="80"/>
      <c r="F84" s="80"/>
      <c r="G84" s="92">
        <v>70000</v>
      </c>
      <c r="H84" s="80"/>
      <c r="I84" s="80"/>
      <c r="J84" s="80"/>
      <c r="K84" s="80"/>
      <c r="L84" s="80"/>
    </row>
    <row r="85" spans="1:12">
      <c r="A85" s="84" t="s">
        <v>198</v>
      </c>
      <c r="B85" s="85" t="s">
        <v>215</v>
      </c>
      <c r="C85" s="100"/>
      <c r="D85" s="86"/>
      <c r="E85" s="100"/>
      <c r="F85" s="100"/>
      <c r="G85" s="100"/>
      <c r="H85" s="100"/>
      <c r="I85" s="100"/>
      <c r="J85" s="100"/>
      <c r="K85" s="100"/>
      <c r="L85" s="100"/>
    </row>
    <row r="86" spans="1:12">
      <c r="A86" s="87">
        <v>3111</v>
      </c>
      <c r="B86" s="79" t="s">
        <v>1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</row>
    <row r="87" spans="1:12">
      <c r="A87" s="87">
        <v>3132</v>
      </c>
      <c r="B87" s="79" t="s">
        <v>216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</row>
    <row r="88" spans="1:12" ht="25.5">
      <c r="A88" s="87">
        <v>3133</v>
      </c>
      <c r="B88" s="79" t="s">
        <v>201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</row>
    <row r="89" spans="1:12">
      <c r="A89" s="87">
        <v>3222</v>
      </c>
      <c r="B89" s="79" t="s">
        <v>7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</row>
    <row r="90" spans="1:12">
      <c r="A90" s="84" t="s">
        <v>198</v>
      </c>
      <c r="B90" s="85" t="s">
        <v>217</v>
      </c>
      <c r="C90" s="100"/>
      <c r="D90" s="86"/>
      <c r="E90" s="100"/>
      <c r="F90" s="100"/>
      <c r="G90" s="100"/>
      <c r="H90" s="100"/>
      <c r="I90" s="100"/>
      <c r="J90" s="100"/>
      <c r="K90" s="100"/>
      <c r="L90" s="100"/>
    </row>
    <row r="91" spans="1:12">
      <c r="A91" s="87">
        <v>3111</v>
      </c>
      <c r="B91" s="79" t="s">
        <v>1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</row>
    <row r="92" spans="1:12">
      <c r="A92" s="87">
        <v>3132</v>
      </c>
      <c r="B92" s="79" t="s">
        <v>216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</row>
    <row r="93" spans="1:12" ht="25.5">
      <c r="A93" s="87">
        <v>3133</v>
      </c>
      <c r="B93" s="79" t="s">
        <v>201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>
      <c r="A94" s="84" t="s">
        <v>198</v>
      </c>
      <c r="B94" s="85" t="s">
        <v>218</v>
      </c>
      <c r="C94" s="100"/>
      <c r="D94" s="86"/>
      <c r="E94" s="100"/>
      <c r="F94" s="100"/>
      <c r="G94" s="100"/>
      <c r="H94" s="100"/>
      <c r="I94" s="100"/>
      <c r="J94" s="100"/>
      <c r="K94" s="100"/>
      <c r="L94" s="100"/>
    </row>
    <row r="95" spans="1:12">
      <c r="A95" s="87">
        <v>3111</v>
      </c>
      <c r="B95" s="79" t="s">
        <v>1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12">
      <c r="A96" s="87">
        <v>3132</v>
      </c>
      <c r="B96" s="79" t="s">
        <v>216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1:12" ht="25.5">
      <c r="A97" s="87">
        <v>3133</v>
      </c>
      <c r="B97" s="79" t="s">
        <v>201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1:12">
      <c r="A98" s="87">
        <v>3237</v>
      </c>
      <c r="B98" s="79" t="s">
        <v>16</v>
      </c>
      <c r="C98" s="80"/>
      <c r="D98" s="80"/>
      <c r="E98" s="80"/>
      <c r="F98" s="80"/>
      <c r="G98" s="80"/>
      <c r="H98" s="80"/>
      <c r="I98" s="80"/>
      <c r="J98" s="80"/>
      <c r="K98" s="80"/>
      <c r="L98" s="80"/>
    </row>
    <row r="99" spans="1:12" s="105" customFormat="1">
      <c r="A99" s="101" t="s">
        <v>198</v>
      </c>
      <c r="B99" s="102" t="s">
        <v>219</v>
      </c>
      <c r="C99" s="103"/>
      <c r="D99" s="104"/>
      <c r="E99" s="103"/>
      <c r="F99" s="103"/>
      <c r="G99" s="103"/>
      <c r="H99" s="103"/>
      <c r="I99" s="103"/>
      <c r="J99" s="103"/>
      <c r="K99" s="103"/>
      <c r="L99" s="103"/>
    </row>
    <row r="100" spans="1:12">
      <c r="A100" s="87">
        <v>3111</v>
      </c>
      <c r="B100" s="79" t="s">
        <v>1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</row>
    <row r="101" spans="1:12">
      <c r="A101" s="87">
        <v>3132</v>
      </c>
      <c r="B101" s="79" t="s">
        <v>216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</row>
    <row r="102" spans="1:12" ht="25.5">
      <c r="A102" s="87">
        <v>3133</v>
      </c>
      <c r="B102" s="79" t="s">
        <v>201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</row>
    <row r="103" spans="1:12">
      <c r="A103" s="87">
        <v>3237</v>
      </c>
      <c r="B103" s="79" t="s">
        <v>16</v>
      </c>
      <c r="C103" s="80"/>
      <c r="D103" s="80"/>
      <c r="E103" s="80"/>
      <c r="F103" s="80"/>
      <c r="G103" s="80"/>
      <c r="H103" s="80"/>
      <c r="I103" s="80"/>
      <c r="J103" s="80"/>
      <c r="K103" s="80"/>
      <c r="L103" s="80"/>
    </row>
    <row r="104" spans="1:12">
      <c r="A104" s="84" t="s">
        <v>198</v>
      </c>
      <c r="B104" s="106" t="s">
        <v>220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1:12">
      <c r="A105" s="87">
        <v>3111</v>
      </c>
      <c r="B105" s="79" t="s">
        <v>1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1:12">
      <c r="A106" s="87">
        <v>3121</v>
      </c>
      <c r="B106" s="79" t="s">
        <v>2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</row>
    <row r="107" spans="1:12">
      <c r="A107" s="87">
        <v>3131</v>
      </c>
      <c r="B107" s="79" t="s">
        <v>200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1:12">
      <c r="A108" s="87">
        <v>3132</v>
      </c>
      <c r="B108" s="79" t="s">
        <v>3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1:12" s="108" customFormat="1" ht="25.5">
      <c r="A109" s="87">
        <v>3133</v>
      </c>
      <c r="B109" s="79" t="s">
        <v>201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1:12">
      <c r="A110" s="87">
        <v>3211</v>
      </c>
      <c r="B110" s="79" t="s">
        <v>4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1:12" ht="25.5">
      <c r="A111" s="87">
        <v>3212</v>
      </c>
      <c r="B111" s="79" t="s">
        <v>202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1:12">
      <c r="A112" s="87">
        <v>3213</v>
      </c>
      <c r="B112" s="79" t="s">
        <v>5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</row>
    <row r="113" spans="1:12">
      <c r="A113" s="87">
        <v>3214</v>
      </c>
      <c r="B113" s="79" t="s">
        <v>6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</row>
    <row r="114" spans="1:12" s="70" customFormat="1" ht="33" customHeight="1">
      <c r="A114" s="81" t="s">
        <v>196</v>
      </c>
      <c r="B114" s="82" t="s">
        <v>221</v>
      </c>
      <c r="C114" s="83"/>
      <c r="D114" s="83"/>
      <c r="E114" s="83"/>
      <c r="F114" s="83"/>
      <c r="G114" s="83"/>
      <c r="H114" s="83"/>
      <c r="I114" s="83"/>
      <c r="J114" s="83"/>
      <c r="K114" s="83"/>
      <c r="L114" s="83"/>
    </row>
    <row r="115" spans="1:12" s="70" customFormat="1" ht="39" customHeight="1">
      <c r="A115" s="84" t="s">
        <v>198</v>
      </c>
      <c r="B115" s="85" t="s">
        <v>222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1:12">
      <c r="A116" s="87">
        <v>3111</v>
      </c>
      <c r="B116" s="79" t="s">
        <v>1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</row>
    <row r="117" spans="1:12">
      <c r="A117" s="87">
        <v>3132</v>
      </c>
      <c r="B117" s="79" t="s">
        <v>3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</row>
    <row r="118" spans="1:12" ht="25.5">
      <c r="A118" s="87">
        <v>3133</v>
      </c>
      <c r="B118" s="79" t="s">
        <v>201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1:12">
      <c r="A119" s="87">
        <v>3222</v>
      </c>
      <c r="B119" s="79" t="s">
        <v>223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1:12">
      <c r="A120" s="87">
        <v>3231</v>
      </c>
      <c r="B120" s="79" t="s">
        <v>224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</row>
    <row r="121" spans="1:12">
      <c r="A121" s="84" t="s">
        <v>198</v>
      </c>
      <c r="B121" s="85" t="s">
        <v>225</v>
      </c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</row>
    <row r="122" spans="1:12">
      <c r="A122" s="87">
        <v>3111</v>
      </c>
      <c r="B122" s="79" t="s">
        <v>1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1:12">
      <c r="A123" s="87">
        <v>3132</v>
      </c>
      <c r="B123" s="79" t="s">
        <v>3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2" ht="25.5">
      <c r="A124" s="87">
        <v>3133</v>
      </c>
      <c r="B124" s="79" t="s">
        <v>201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1:12">
      <c r="A125" s="87">
        <v>3222</v>
      </c>
      <c r="B125" s="79" t="s">
        <v>223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</row>
    <row r="126" spans="1:12">
      <c r="A126" s="87">
        <v>3231</v>
      </c>
      <c r="B126" s="79" t="s">
        <v>224</v>
      </c>
      <c r="C126" s="80"/>
      <c r="D126" s="80"/>
      <c r="E126" s="80"/>
      <c r="F126" s="80"/>
      <c r="G126" s="80"/>
      <c r="H126" s="80"/>
      <c r="I126" s="80"/>
      <c r="J126" s="80"/>
      <c r="K126" s="80"/>
      <c r="L126" s="80"/>
    </row>
    <row r="127" spans="1:12">
      <c r="A127" s="84" t="s">
        <v>198</v>
      </c>
      <c r="B127" s="85" t="s">
        <v>226</v>
      </c>
      <c r="C127" s="100"/>
      <c r="D127" s="86"/>
      <c r="E127" s="100"/>
      <c r="F127" s="100"/>
      <c r="G127" s="100"/>
      <c r="H127" s="100"/>
      <c r="I127" s="100"/>
      <c r="J127" s="100"/>
      <c r="K127" s="100"/>
      <c r="L127" s="100"/>
    </row>
    <row r="128" spans="1:12">
      <c r="A128" s="87">
        <v>3111</v>
      </c>
      <c r="B128" s="79" t="s">
        <v>1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80"/>
    </row>
    <row r="129" spans="1:12">
      <c r="A129" s="87">
        <v>3132</v>
      </c>
      <c r="B129" s="79" t="s">
        <v>3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</row>
    <row r="130" spans="1:12" ht="25.5">
      <c r="A130" s="87">
        <v>3133</v>
      </c>
      <c r="B130" s="79" t="s">
        <v>201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1:12">
      <c r="A131" s="87">
        <v>3236</v>
      </c>
      <c r="B131" s="79" t="s">
        <v>15</v>
      </c>
      <c r="C131" s="80"/>
      <c r="D131" s="80"/>
      <c r="E131" s="80"/>
      <c r="F131" s="80"/>
      <c r="G131" s="80"/>
      <c r="H131" s="80"/>
      <c r="I131" s="80"/>
      <c r="J131" s="80"/>
      <c r="K131" s="80"/>
      <c r="L131" s="80"/>
    </row>
    <row r="132" spans="1:12" ht="25.5">
      <c r="A132" s="84" t="s">
        <v>198</v>
      </c>
      <c r="B132" s="85" t="s">
        <v>227</v>
      </c>
      <c r="C132" s="100"/>
      <c r="D132" s="86"/>
      <c r="E132" s="100"/>
      <c r="F132" s="100"/>
      <c r="G132" s="100"/>
      <c r="H132" s="100"/>
      <c r="I132" s="100"/>
      <c r="J132" s="100"/>
      <c r="K132" s="100"/>
      <c r="L132" s="100"/>
    </row>
    <row r="133" spans="1:12">
      <c r="A133" s="87">
        <v>3111</v>
      </c>
      <c r="B133" s="79" t="s">
        <v>1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80"/>
    </row>
    <row r="134" spans="1:12">
      <c r="A134" s="87">
        <v>3132</v>
      </c>
      <c r="B134" s="79" t="s">
        <v>3</v>
      </c>
      <c r="C134" s="80"/>
      <c r="D134" s="80"/>
      <c r="E134" s="80"/>
      <c r="F134" s="80"/>
      <c r="G134" s="80"/>
      <c r="H134" s="80"/>
      <c r="I134" s="80"/>
      <c r="J134" s="80"/>
      <c r="K134" s="80"/>
      <c r="L134" s="80"/>
    </row>
    <row r="135" spans="1:12" ht="25.5">
      <c r="A135" s="87">
        <v>3133</v>
      </c>
      <c r="B135" s="79" t="s">
        <v>201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</row>
    <row r="136" spans="1:12" s="105" customFormat="1" ht="25.5">
      <c r="A136" s="101" t="s">
        <v>198</v>
      </c>
      <c r="B136" s="102" t="s">
        <v>228</v>
      </c>
      <c r="C136" s="103"/>
      <c r="D136" s="104"/>
      <c r="E136" s="103"/>
      <c r="F136" s="103"/>
      <c r="G136" s="103"/>
      <c r="H136" s="103"/>
      <c r="I136" s="103"/>
      <c r="J136" s="103"/>
      <c r="K136" s="103"/>
      <c r="L136" s="103"/>
    </row>
    <row r="137" spans="1:12">
      <c r="A137" s="87">
        <v>3111</v>
      </c>
      <c r="B137" s="79" t="s">
        <v>1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</row>
    <row r="138" spans="1:12">
      <c r="A138" s="87">
        <v>3131</v>
      </c>
      <c r="B138" s="79" t="s">
        <v>3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</row>
    <row r="139" spans="1:12" ht="25.5">
      <c r="A139" s="87">
        <v>3133</v>
      </c>
      <c r="B139" s="79" t="s">
        <v>201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</row>
    <row r="140" spans="1:12">
      <c r="A140" s="87">
        <v>3222</v>
      </c>
      <c r="B140" s="79" t="s">
        <v>7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80"/>
    </row>
    <row r="141" spans="1:12">
      <c r="A141" s="87">
        <v>3223</v>
      </c>
      <c r="B141" s="79" t="s">
        <v>8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1:12" ht="25.5">
      <c r="A142" s="109" t="s">
        <v>198</v>
      </c>
      <c r="B142" s="110" t="s">
        <v>229</v>
      </c>
      <c r="C142" s="111">
        <f t="shared" ref="C142:L142" si="4">SUM(C143:C183)</f>
        <v>8960000</v>
      </c>
      <c r="D142" s="111">
        <f t="shared" si="4"/>
        <v>0</v>
      </c>
      <c r="E142" s="111">
        <f t="shared" si="4"/>
        <v>0</v>
      </c>
      <c r="F142" s="111">
        <f t="shared" si="4"/>
        <v>8960000</v>
      </c>
      <c r="G142" s="111">
        <f t="shared" si="4"/>
        <v>0</v>
      </c>
      <c r="H142" s="111">
        <f t="shared" si="4"/>
        <v>0</v>
      </c>
      <c r="I142" s="111">
        <f t="shared" si="4"/>
        <v>0</v>
      </c>
      <c r="J142" s="111">
        <f t="shared" si="4"/>
        <v>0</v>
      </c>
      <c r="K142" s="111">
        <f t="shared" si="4"/>
        <v>0</v>
      </c>
      <c r="L142" s="111">
        <f t="shared" si="4"/>
        <v>0</v>
      </c>
    </row>
    <row r="143" spans="1:12">
      <c r="A143" s="87">
        <v>3111</v>
      </c>
      <c r="B143" s="79" t="s">
        <v>1</v>
      </c>
      <c r="C143" s="80">
        <f>SUM(D143:L143)</f>
        <v>4070800</v>
      </c>
      <c r="D143" s="80"/>
      <c r="E143" s="80"/>
      <c r="F143" s="92">
        <v>4070800</v>
      </c>
      <c r="G143" s="80"/>
      <c r="H143" s="80"/>
      <c r="I143" s="80"/>
      <c r="J143" s="80"/>
      <c r="K143" s="80"/>
      <c r="L143" s="92"/>
    </row>
    <row r="144" spans="1:12">
      <c r="A144" s="87">
        <v>3112</v>
      </c>
      <c r="B144" s="79" t="s">
        <v>211</v>
      </c>
      <c r="C144" s="80">
        <f t="shared" ref="C144:C183" si="5">SUM(D144:L144)</f>
        <v>0</v>
      </c>
      <c r="D144" s="80"/>
      <c r="E144" s="80"/>
      <c r="F144" s="92"/>
      <c r="G144" s="80"/>
      <c r="H144" s="80"/>
      <c r="I144" s="80"/>
      <c r="J144" s="80"/>
      <c r="K144" s="80"/>
      <c r="L144" s="92"/>
    </row>
    <row r="145" spans="1:12">
      <c r="A145" s="87">
        <v>3113</v>
      </c>
      <c r="B145" s="79" t="s">
        <v>23</v>
      </c>
      <c r="C145" s="80">
        <f t="shared" si="5"/>
        <v>106000</v>
      </c>
      <c r="D145" s="80"/>
      <c r="E145" s="80"/>
      <c r="F145" s="92">
        <v>106000</v>
      </c>
      <c r="G145" s="80"/>
      <c r="H145" s="80"/>
      <c r="I145" s="80"/>
      <c r="J145" s="80"/>
      <c r="K145" s="80"/>
      <c r="L145" s="92"/>
    </row>
    <row r="146" spans="1:12">
      <c r="A146" s="87">
        <v>3114</v>
      </c>
      <c r="B146" s="79" t="s">
        <v>24</v>
      </c>
      <c r="C146" s="80">
        <f t="shared" si="5"/>
        <v>316000</v>
      </c>
      <c r="D146" s="80"/>
      <c r="E146" s="80"/>
      <c r="F146" s="92">
        <v>316000</v>
      </c>
      <c r="G146" s="80"/>
      <c r="H146" s="80"/>
      <c r="I146" s="80"/>
      <c r="J146" s="80"/>
      <c r="K146" s="80"/>
      <c r="L146" s="92"/>
    </row>
    <row r="147" spans="1:12">
      <c r="A147" s="87">
        <v>3121</v>
      </c>
      <c r="B147" s="79" t="s">
        <v>2</v>
      </c>
      <c r="C147" s="80">
        <f t="shared" si="5"/>
        <v>260000</v>
      </c>
      <c r="D147" s="80"/>
      <c r="E147" s="80"/>
      <c r="F147" s="92">
        <v>260000</v>
      </c>
      <c r="G147" s="80"/>
      <c r="H147" s="80"/>
      <c r="I147" s="80"/>
      <c r="J147" s="80"/>
      <c r="K147" s="80"/>
      <c r="L147" s="92"/>
    </row>
    <row r="148" spans="1:12">
      <c r="A148" s="87">
        <v>3131</v>
      </c>
      <c r="B148" s="79" t="s">
        <v>200</v>
      </c>
      <c r="C148" s="80">
        <f t="shared" si="5"/>
        <v>0</v>
      </c>
      <c r="D148" s="80"/>
      <c r="E148" s="80"/>
      <c r="F148" s="92"/>
      <c r="G148" s="80"/>
      <c r="H148" s="80"/>
      <c r="I148" s="80"/>
      <c r="J148" s="80"/>
      <c r="K148" s="80"/>
      <c r="L148" s="80"/>
    </row>
    <row r="149" spans="1:12">
      <c r="A149" s="87">
        <v>3132</v>
      </c>
      <c r="B149" s="79" t="s">
        <v>3</v>
      </c>
      <c r="C149" s="80">
        <f t="shared" si="5"/>
        <v>744300</v>
      </c>
      <c r="D149" s="80"/>
      <c r="E149" s="80"/>
      <c r="F149" s="92">
        <v>744300</v>
      </c>
      <c r="G149" s="80"/>
      <c r="H149" s="80"/>
      <c r="I149" s="80"/>
      <c r="J149" s="80"/>
      <c r="K149" s="80"/>
      <c r="L149" s="80"/>
    </row>
    <row r="150" spans="1:12" ht="25.5">
      <c r="A150" s="87">
        <v>3133</v>
      </c>
      <c r="B150" s="79" t="s">
        <v>201</v>
      </c>
      <c r="C150" s="80">
        <f t="shared" si="5"/>
        <v>0</v>
      </c>
      <c r="D150" s="80"/>
      <c r="E150" s="80"/>
      <c r="F150" s="92"/>
      <c r="G150" s="80"/>
      <c r="H150" s="80"/>
      <c r="I150" s="80"/>
      <c r="J150" s="80"/>
      <c r="K150" s="80"/>
      <c r="L150" s="80"/>
    </row>
    <row r="151" spans="1:12">
      <c r="A151" s="87">
        <v>3211</v>
      </c>
      <c r="B151" s="79" t="s">
        <v>4</v>
      </c>
      <c r="C151" s="80">
        <f t="shared" si="5"/>
        <v>18000</v>
      </c>
      <c r="D151" s="80"/>
      <c r="E151" s="80"/>
      <c r="F151" s="92">
        <v>18000</v>
      </c>
      <c r="G151" s="80"/>
      <c r="H151" s="80"/>
      <c r="I151" s="80"/>
      <c r="J151" s="80"/>
      <c r="K151" s="80"/>
      <c r="L151" s="80"/>
    </row>
    <row r="152" spans="1:12" ht="25.5">
      <c r="A152" s="87">
        <v>3212</v>
      </c>
      <c r="B152" s="79" t="s">
        <v>202</v>
      </c>
      <c r="C152" s="80">
        <f t="shared" si="5"/>
        <v>184000</v>
      </c>
      <c r="D152" s="80"/>
      <c r="E152" s="80"/>
      <c r="F152" s="92">
        <v>184000</v>
      </c>
      <c r="G152" s="80"/>
      <c r="H152" s="80"/>
      <c r="I152" s="80"/>
      <c r="J152" s="80"/>
      <c r="K152" s="80"/>
      <c r="L152" s="80"/>
    </row>
    <row r="153" spans="1:12">
      <c r="A153" s="87">
        <v>3213</v>
      </c>
      <c r="B153" s="79" t="s">
        <v>5</v>
      </c>
      <c r="C153" s="80">
        <f t="shared" si="5"/>
        <v>36000</v>
      </c>
      <c r="D153" s="80"/>
      <c r="E153" s="80"/>
      <c r="F153" s="92">
        <v>36000</v>
      </c>
      <c r="G153" s="80"/>
      <c r="H153" s="80"/>
      <c r="I153" s="80"/>
      <c r="J153" s="80"/>
      <c r="K153" s="80"/>
      <c r="L153" s="80"/>
    </row>
    <row r="154" spans="1:12">
      <c r="A154" s="87">
        <v>3214</v>
      </c>
      <c r="B154" s="79" t="s">
        <v>6</v>
      </c>
      <c r="C154" s="80">
        <f t="shared" si="5"/>
        <v>0</v>
      </c>
      <c r="D154" s="80"/>
      <c r="E154" s="80"/>
      <c r="F154" s="92">
        <v>0</v>
      </c>
      <c r="G154" s="80"/>
      <c r="H154" s="80"/>
      <c r="I154" s="80"/>
      <c r="J154" s="80"/>
      <c r="K154" s="80"/>
      <c r="L154" s="80"/>
    </row>
    <row r="155" spans="1:12">
      <c r="A155" s="87">
        <v>3221</v>
      </c>
      <c r="B155" s="79" t="s">
        <v>203</v>
      </c>
      <c r="C155" s="80">
        <f t="shared" si="5"/>
        <v>120000</v>
      </c>
      <c r="D155" s="80"/>
      <c r="E155" s="80"/>
      <c r="F155" s="92">
        <v>120000</v>
      </c>
      <c r="G155" s="80"/>
      <c r="H155" s="80"/>
      <c r="I155" s="80"/>
      <c r="J155" s="80"/>
      <c r="K155" s="80"/>
      <c r="L155" s="80"/>
    </row>
    <row r="156" spans="1:12">
      <c r="A156" s="87">
        <v>3222</v>
      </c>
      <c r="B156" s="79" t="s">
        <v>230</v>
      </c>
      <c r="C156" s="80">
        <f t="shared" si="5"/>
        <v>1280700</v>
      </c>
      <c r="D156" s="80"/>
      <c r="E156" s="80"/>
      <c r="F156" s="92">
        <f>1080700+200000</f>
        <v>1280700</v>
      </c>
      <c r="G156" s="80"/>
      <c r="H156" s="80"/>
      <c r="I156" s="80"/>
      <c r="J156" s="80"/>
      <c r="K156" s="80"/>
      <c r="L156" s="80"/>
    </row>
    <row r="157" spans="1:12">
      <c r="A157" s="87">
        <v>3223</v>
      </c>
      <c r="B157" s="79" t="s">
        <v>8</v>
      </c>
      <c r="C157" s="80">
        <f t="shared" si="5"/>
        <v>440000</v>
      </c>
      <c r="D157" s="80"/>
      <c r="E157" s="80"/>
      <c r="F157" s="92">
        <v>440000</v>
      </c>
      <c r="G157" s="80"/>
      <c r="H157" s="80"/>
      <c r="I157" s="80"/>
      <c r="J157" s="80"/>
      <c r="K157" s="80"/>
      <c r="L157" s="80"/>
    </row>
    <row r="158" spans="1:12" ht="25.5">
      <c r="A158" s="87">
        <v>3224</v>
      </c>
      <c r="B158" s="79" t="s">
        <v>204</v>
      </c>
      <c r="C158" s="80">
        <f t="shared" si="5"/>
        <v>60000</v>
      </c>
      <c r="D158" s="80"/>
      <c r="E158" s="80"/>
      <c r="F158" s="92">
        <v>60000</v>
      </c>
      <c r="G158" s="80"/>
      <c r="H158" s="80"/>
      <c r="I158" s="80"/>
      <c r="J158" s="80"/>
      <c r="K158" s="80"/>
      <c r="L158" s="80"/>
    </row>
    <row r="159" spans="1:12">
      <c r="A159" s="87">
        <v>3225</v>
      </c>
      <c r="B159" s="79" t="s">
        <v>9</v>
      </c>
      <c r="C159" s="80">
        <f t="shared" si="5"/>
        <v>42000</v>
      </c>
      <c r="D159" s="80"/>
      <c r="E159" s="80"/>
      <c r="F159" s="92">
        <v>42000</v>
      </c>
      <c r="G159" s="80"/>
      <c r="H159" s="80"/>
      <c r="I159" s="80"/>
      <c r="J159" s="80"/>
      <c r="K159" s="80"/>
      <c r="L159" s="80"/>
    </row>
    <row r="160" spans="1:12">
      <c r="A160" s="87">
        <v>3227</v>
      </c>
      <c r="B160" s="79" t="s">
        <v>231</v>
      </c>
      <c r="C160" s="80">
        <f t="shared" si="5"/>
        <v>30000</v>
      </c>
      <c r="D160" s="80"/>
      <c r="E160" s="80"/>
      <c r="F160" s="92">
        <v>30000</v>
      </c>
      <c r="G160" s="80"/>
      <c r="H160" s="80"/>
      <c r="I160" s="80"/>
      <c r="J160" s="80"/>
      <c r="K160" s="80"/>
      <c r="L160" s="80"/>
    </row>
    <row r="161" spans="1:12">
      <c r="A161" s="87">
        <v>3231</v>
      </c>
      <c r="B161" s="79" t="s">
        <v>11</v>
      </c>
      <c r="C161" s="80">
        <f t="shared" si="5"/>
        <v>42000</v>
      </c>
      <c r="D161" s="80"/>
      <c r="E161" s="80"/>
      <c r="F161" s="92">
        <v>42000</v>
      </c>
      <c r="G161" s="80"/>
      <c r="H161" s="80"/>
      <c r="I161" s="80"/>
      <c r="J161" s="80"/>
      <c r="K161" s="80"/>
      <c r="L161" s="80"/>
    </row>
    <row r="162" spans="1:12">
      <c r="A162" s="87">
        <v>3232</v>
      </c>
      <c r="B162" s="79" t="s">
        <v>205</v>
      </c>
      <c r="C162" s="80">
        <f t="shared" si="5"/>
        <v>258700</v>
      </c>
      <c r="D162" s="80"/>
      <c r="E162" s="80"/>
      <c r="F162" s="92">
        <f>458700-200000</f>
        <v>258700</v>
      </c>
      <c r="G162" s="80"/>
      <c r="H162" s="80"/>
      <c r="I162" s="80"/>
      <c r="J162" s="80"/>
      <c r="K162" s="80"/>
      <c r="L162" s="80"/>
    </row>
    <row r="163" spans="1:12">
      <c r="A163" s="87">
        <v>3233</v>
      </c>
      <c r="B163" s="79" t="s">
        <v>232</v>
      </c>
      <c r="C163" s="80">
        <f t="shared" si="5"/>
        <v>95000</v>
      </c>
      <c r="D163" s="80"/>
      <c r="E163" s="80"/>
      <c r="F163" s="92">
        <v>95000</v>
      </c>
      <c r="G163" s="80"/>
      <c r="H163" s="80"/>
      <c r="I163" s="80"/>
      <c r="J163" s="80"/>
      <c r="K163" s="80"/>
      <c r="L163" s="80"/>
    </row>
    <row r="164" spans="1:12">
      <c r="A164" s="87">
        <v>3234</v>
      </c>
      <c r="B164" s="79" t="s">
        <v>13</v>
      </c>
      <c r="C164" s="80">
        <f t="shared" si="5"/>
        <v>135000</v>
      </c>
      <c r="D164" s="80"/>
      <c r="E164" s="80"/>
      <c r="F164" s="92">
        <v>135000</v>
      </c>
      <c r="G164" s="80"/>
      <c r="H164" s="80"/>
      <c r="I164" s="80"/>
      <c r="J164" s="80"/>
      <c r="K164" s="80"/>
      <c r="L164" s="80"/>
    </row>
    <row r="165" spans="1:12">
      <c r="A165" s="87">
        <v>3235</v>
      </c>
      <c r="B165" s="79" t="s">
        <v>14</v>
      </c>
      <c r="C165" s="80">
        <f t="shared" si="5"/>
        <v>90000</v>
      </c>
      <c r="D165" s="80"/>
      <c r="E165" s="80"/>
      <c r="F165" s="92">
        <v>90000</v>
      </c>
      <c r="G165" s="80"/>
      <c r="H165" s="80"/>
      <c r="I165" s="80"/>
      <c r="J165" s="80"/>
      <c r="K165" s="80"/>
      <c r="L165" s="80"/>
    </row>
    <row r="166" spans="1:12">
      <c r="A166" s="87">
        <v>3236</v>
      </c>
      <c r="B166" s="79" t="s">
        <v>15</v>
      </c>
      <c r="C166" s="80">
        <f t="shared" si="5"/>
        <v>108000</v>
      </c>
      <c r="D166" s="80"/>
      <c r="E166" s="80"/>
      <c r="F166" s="92">
        <v>108000</v>
      </c>
      <c r="G166" s="80"/>
      <c r="H166" s="80"/>
      <c r="I166" s="80"/>
      <c r="J166" s="80"/>
      <c r="K166" s="80"/>
      <c r="L166" s="80"/>
    </row>
    <row r="167" spans="1:12">
      <c r="A167" s="87">
        <v>3237</v>
      </c>
      <c r="B167" s="79" t="s">
        <v>16</v>
      </c>
      <c r="C167" s="80">
        <f t="shared" si="5"/>
        <v>90000</v>
      </c>
      <c r="D167" s="80"/>
      <c r="E167" s="80"/>
      <c r="F167" s="92">
        <v>90000</v>
      </c>
      <c r="G167" s="80"/>
      <c r="H167" s="80"/>
      <c r="I167" s="80"/>
      <c r="J167" s="80"/>
      <c r="K167" s="80"/>
      <c r="L167" s="80"/>
    </row>
    <row r="168" spans="1:12">
      <c r="A168" s="87">
        <v>3238</v>
      </c>
      <c r="B168" s="79" t="s">
        <v>17</v>
      </c>
      <c r="C168" s="80">
        <f t="shared" si="5"/>
        <v>94000</v>
      </c>
      <c r="D168" s="80"/>
      <c r="E168" s="80"/>
      <c r="F168" s="92">
        <v>94000</v>
      </c>
      <c r="G168" s="80"/>
      <c r="H168" s="80"/>
      <c r="I168" s="80"/>
      <c r="J168" s="80"/>
      <c r="K168" s="80"/>
      <c r="L168" s="80"/>
    </row>
    <row r="169" spans="1:12">
      <c r="A169" s="87">
        <v>3239</v>
      </c>
      <c r="B169" s="79" t="s">
        <v>18</v>
      </c>
      <c r="C169" s="80">
        <f t="shared" si="5"/>
        <v>90000</v>
      </c>
      <c r="D169" s="80"/>
      <c r="E169" s="80"/>
      <c r="F169" s="92">
        <v>90000</v>
      </c>
      <c r="G169" s="80"/>
      <c r="H169" s="80"/>
      <c r="I169" s="80"/>
      <c r="J169" s="80"/>
      <c r="K169" s="80"/>
      <c r="L169" s="80"/>
    </row>
    <row r="170" spans="1:12" ht="25.5">
      <c r="A170" s="87">
        <v>3241</v>
      </c>
      <c r="B170" s="79" t="s">
        <v>25</v>
      </c>
      <c r="C170" s="80">
        <f t="shared" si="5"/>
        <v>0</v>
      </c>
      <c r="D170" s="80"/>
      <c r="E170" s="80"/>
      <c r="F170" s="92">
        <v>0</v>
      </c>
      <c r="G170" s="80"/>
      <c r="H170" s="80"/>
      <c r="I170" s="80"/>
      <c r="J170" s="80"/>
      <c r="K170" s="80"/>
      <c r="L170" s="80"/>
    </row>
    <row r="171" spans="1:12" ht="25.5">
      <c r="A171" s="87">
        <v>3291</v>
      </c>
      <c r="B171" s="79" t="s">
        <v>233</v>
      </c>
      <c r="C171" s="80">
        <f t="shared" si="5"/>
        <v>0</v>
      </c>
      <c r="D171" s="80"/>
      <c r="E171" s="80"/>
      <c r="F171" s="92"/>
      <c r="G171" s="80"/>
      <c r="H171" s="80"/>
      <c r="I171" s="80"/>
      <c r="J171" s="80"/>
      <c r="K171" s="80"/>
      <c r="L171" s="80"/>
    </row>
    <row r="172" spans="1:12">
      <c r="A172" s="87">
        <v>3292</v>
      </c>
      <c r="B172" s="79" t="s">
        <v>26</v>
      </c>
      <c r="C172" s="80">
        <f t="shared" si="5"/>
        <v>44000</v>
      </c>
      <c r="D172" s="80"/>
      <c r="E172" s="80"/>
      <c r="F172" s="92">
        <v>44000</v>
      </c>
      <c r="G172" s="80"/>
      <c r="H172" s="80"/>
      <c r="I172" s="80"/>
      <c r="J172" s="80"/>
      <c r="K172" s="80"/>
      <c r="L172" s="80"/>
    </row>
    <row r="173" spans="1:12">
      <c r="A173" s="87">
        <v>3293</v>
      </c>
      <c r="B173" s="79" t="s">
        <v>19</v>
      </c>
      <c r="C173" s="80">
        <f t="shared" si="5"/>
        <v>25000</v>
      </c>
      <c r="D173" s="80"/>
      <c r="E173" s="80"/>
      <c r="F173" s="92">
        <v>25000</v>
      </c>
      <c r="G173" s="80"/>
      <c r="H173" s="80"/>
      <c r="I173" s="80"/>
      <c r="J173" s="80"/>
      <c r="K173" s="80"/>
      <c r="L173" s="80"/>
    </row>
    <row r="174" spans="1:12">
      <c r="A174" s="87">
        <v>3294</v>
      </c>
      <c r="B174" s="79" t="s">
        <v>234</v>
      </c>
      <c r="C174" s="80">
        <f t="shared" si="5"/>
        <v>19000</v>
      </c>
      <c r="D174" s="80"/>
      <c r="E174" s="80"/>
      <c r="F174" s="92">
        <v>19000</v>
      </c>
      <c r="G174" s="80"/>
      <c r="H174" s="80"/>
      <c r="I174" s="80"/>
      <c r="J174" s="80"/>
      <c r="K174" s="80"/>
      <c r="L174" s="80"/>
    </row>
    <row r="175" spans="1:12">
      <c r="A175" s="87">
        <v>3295</v>
      </c>
      <c r="B175" s="79" t="s">
        <v>20</v>
      </c>
      <c r="C175" s="80">
        <f t="shared" si="5"/>
        <v>14000</v>
      </c>
      <c r="D175" s="80"/>
      <c r="E175" s="80"/>
      <c r="F175" s="92">
        <v>14000</v>
      </c>
      <c r="G175" s="80"/>
      <c r="H175" s="80"/>
      <c r="I175" s="80"/>
      <c r="J175" s="80"/>
      <c r="K175" s="80"/>
      <c r="L175" s="80"/>
    </row>
    <row r="176" spans="1:12">
      <c r="A176" s="87">
        <v>3296</v>
      </c>
      <c r="B176" s="79" t="s">
        <v>27</v>
      </c>
      <c r="C176" s="80">
        <f t="shared" si="5"/>
        <v>0</v>
      </c>
      <c r="D176" s="80"/>
      <c r="E176" s="80"/>
      <c r="F176" s="92"/>
      <c r="G176" s="80"/>
      <c r="H176" s="80"/>
      <c r="I176" s="80"/>
      <c r="J176" s="80"/>
      <c r="K176" s="80"/>
      <c r="L176" s="80"/>
    </row>
    <row r="177" spans="1:12">
      <c r="A177" s="87">
        <v>3299</v>
      </c>
      <c r="B177" s="79" t="s">
        <v>21</v>
      </c>
      <c r="C177" s="80">
        <f t="shared" si="5"/>
        <v>12000</v>
      </c>
      <c r="D177" s="80"/>
      <c r="E177" s="80"/>
      <c r="F177" s="92">
        <v>12000</v>
      </c>
      <c r="G177" s="80"/>
      <c r="H177" s="80"/>
      <c r="I177" s="80"/>
      <c r="J177" s="80"/>
      <c r="K177" s="80"/>
      <c r="L177" s="80"/>
    </row>
    <row r="178" spans="1:12" ht="25.5">
      <c r="A178" s="87">
        <v>3423</v>
      </c>
      <c r="B178" s="79" t="s">
        <v>235</v>
      </c>
      <c r="C178" s="80">
        <f t="shared" si="5"/>
        <v>50000</v>
      </c>
      <c r="D178" s="80"/>
      <c r="E178" s="80"/>
      <c r="F178" s="92">
        <v>50000</v>
      </c>
      <c r="G178" s="80"/>
      <c r="H178" s="80"/>
      <c r="I178" s="80"/>
      <c r="J178" s="80"/>
      <c r="K178" s="80"/>
      <c r="L178" s="80"/>
    </row>
    <row r="179" spans="1:12">
      <c r="A179" s="87">
        <v>3431</v>
      </c>
      <c r="B179" s="79" t="s">
        <v>209</v>
      </c>
      <c r="C179" s="80">
        <f t="shared" si="5"/>
        <v>5000</v>
      </c>
      <c r="D179" s="80"/>
      <c r="E179" s="80"/>
      <c r="F179" s="92">
        <v>5000</v>
      </c>
      <c r="G179" s="80"/>
      <c r="H179" s="80"/>
      <c r="I179" s="80"/>
      <c r="J179" s="80"/>
      <c r="K179" s="80"/>
      <c r="L179" s="80"/>
    </row>
    <row r="180" spans="1:12" ht="25.5">
      <c r="A180" s="87">
        <v>3432</v>
      </c>
      <c r="B180" s="79" t="s">
        <v>236</v>
      </c>
      <c r="C180" s="80">
        <f t="shared" si="5"/>
        <v>5000</v>
      </c>
      <c r="D180" s="80"/>
      <c r="E180" s="80"/>
      <c r="F180" s="92">
        <v>5000</v>
      </c>
      <c r="G180" s="80"/>
      <c r="H180" s="80"/>
      <c r="I180" s="80"/>
      <c r="J180" s="80"/>
      <c r="K180" s="80"/>
      <c r="L180" s="80"/>
    </row>
    <row r="181" spans="1:12">
      <c r="A181" s="87">
        <v>3433</v>
      </c>
      <c r="B181" s="79" t="s">
        <v>28</v>
      </c>
      <c r="C181" s="80">
        <f t="shared" si="5"/>
        <v>500</v>
      </c>
      <c r="D181" s="80"/>
      <c r="E181" s="80"/>
      <c r="F181" s="92">
        <v>500</v>
      </c>
      <c r="G181" s="80"/>
      <c r="H181" s="80"/>
      <c r="I181" s="80"/>
      <c r="J181" s="80"/>
      <c r="K181" s="80"/>
      <c r="L181" s="80"/>
    </row>
    <row r="182" spans="1:12">
      <c r="A182" s="87">
        <v>3434</v>
      </c>
      <c r="B182" s="79" t="s">
        <v>29</v>
      </c>
      <c r="C182" s="80">
        <f t="shared" si="5"/>
        <v>75000</v>
      </c>
      <c r="D182" s="80"/>
      <c r="E182" s="80"/>
      <c r="F182" s="92">
        <v>75000</v>
      </c>
      <c r="G182" s="80"/>
      <c r="H182" s="80"/>
      <c r="I182" s="80"/>
      <c r="J182" s="80"/>
      <c r="K182" s="80"/>
      <c r="L182" s="80"/>
    </row>
    <row r="183" spans="1:12">
      <c r="A183" s="87">
        <v>3831</v>
      </c>
      <c r="B183" s="79" t="s">
        <v>30</v>
      </c>
      <c r="C183" s="80">
        <f t="shared" si="5"/>
        <v>0</v>
      </c>
      <c r="D183" s="80"/>
      <c r="E183" s="80"/>
      <c r="F183" s="92"/>
      <c r="G183" s="80"/>
      <c r="H183" s="80"/>
      <c r="I183" s="80"/>
      <c r="J183" s="80"/>
      <c r="K183" s="80"/>
      <c r="L183" s="80"/>
    </row>
    <row r="184" spans="1:12" s="105" customFormat="1" ht="15" customHeight="1">
      <c r="A184" s="101" t="s">
        <v>198</v>
      </c>
      <c r="B184" s="102" t="s">
        <v>237</v>
      </c>
      <c r="C184" s="103"/>
      <c r="D184" s="104"/>
      <c r="E184" s="103"/>
      <c r="F184" s="103"/>
      <c r="G184" s="103"/>
      <c r="H184" s="103"/>
      <c r="I184" s="103"/>
      <c r="J184" s="103"/>
      <c r="K184" s="103"/>
      <c r="L184" s="103"/>
    </row>
    <row r="185" spans="1:12">
      <c r="A185" s="87">
        <v>3111</v>
      </c>
      <c r="B185" s="79" t="s">
        <v>1</v>
      </c>
      <c r="C185" s="80"/>
      <c r="D185" s="80"/>
      <c r="E185" s="80"/>
      <c r="F185" s="80"/>
      <c r="G185" s="80"/>
      <c r="H185" s="80"/>
      <c r="I185" s="80"/>
      <c r="J185" s="80"/>
      <c r="K185" s="80"/>
      <c r="L185" s="80"/>
    </row>
    <row r="186" spans="1:12">
      <c r="A186" s="87">
        <v>3131</v>
      </c>
      <c r="B186" s="79" t="s">
        <v>3</v>
      </c>
      <c r="C186" s="80"/>
      <c r="D186" s="80"/>
      <c r="E186" s="80"/>
      <c r="F186" s="80"/>
      <c r="G186" s="80"/>
      <c r="H186" s="80"/>
      <c r="I186" s="80"/>
      <c r="J186" s="80"/>
      <c r="K186" s="80"/>
      <c r="L186" s="80"/>
    </row>
    <row r="187" spans="1:12" ht="25.5">
      <c r="A187" s="87">
        <v>3133</v>
      </c>
      <c r="B187" s="79" t="s">
        <v>201</v>
      </c>
      <c r="C187" s="80"/>
      <c r="D187" s="80"/>
      <c r="E187" s="80"/>
      <c r="F187" s="80"/>
      <c r="G187" s="80"/>
      <c r="H187" s="80"/>
      <c r="I187" s="80"/>
      <c r="J187" s="80"/>
      <c r="K187" s="80"/>
      <c r="L187" s="80"/>
    </row>
    <row r="188" spans="1:12" ht="25.5">
      <c r="A188" s="81" t="s">
        <v>196</v>
      </c>
      <c r="B188" s="82" t="s">
        <v>238</v>
      </c>
      <c r="C188" s="112"/>
      <c r="D188" s="83"/>
      <c r="E188" s="83" t="s">
        <v>162</v>
      </c>
      <c r="F188" s="112"/>
      <c r="G188" s="112"/>
      <c r="H188" s="112"/>
      <c r="I188" s="112"/>
      <c r="J188" s="112"/>
      <c r="K188" s="112"/>
      <c r="L188" s="112"/>
    </row>
    <row r="189" spans="1:12" s="91" customFormat="1" ht="25.5">
      <c r="A189" s="88" t="s">
        <v>239</v>
      </c>
      <c r="B189" s="89" t="s">
        <v>240</v>
      </c>
      <c r="C189" s="90">
        <f>SUM(C190:C202)</f>
        <v>1630000</v>
      </c>
      <c r="D189" s="90">
        <f>SUM(D190:D202)</f>
        <v>0</v>
      </c>
      <c r="E189" s="90">
        <f>SUM(E190:E202)</f>
        <v>1630000</v>
      </c>
      <c r="F189" s="90">
        <f t="shared" ref="F189:L189" si="6">SUM(F190:F202)</f>
        <v>0</v>
      </c>
      <c r="G189" s="90">
        <f t="shared" si="6"/>
        <v>0</v>
      </c>
      <c r="H189" s="90">
        <f t="shared" si="6"/>
        <v>0</v>
      </c>
      <c r="I189" s="90">
        <f t="shared" si="6"/>
        <v>0</v>
      </c>
      <c r="J189" s="90">
        <f t="shared" si="6"/>
        <v>0</v>
      </c>
      <c r="K189" s="90">
        <f t="shared" si="6"/>
        <v>0</v>
      </c>
      <c r="L189" s="90">
        <f t="shared" si="6"/>
        <v>0</v>
      </c>
    </row>
    <row r="190" spans="1:12" ht="25.5">
      <c r="A190" s="87">
        <v>3224</v>
      </c>
      <c r="B190" s="79" t="s">
        <v>204</v>
      </c>
      <c r="C190" s="80">
        <f>SUM(D190:L190)</f>
        <v>0</v>
      </c>
      <c r="D190" s="80"/>
      <c r="E190" s="80"/>
      <c r="F190" s="80"/>
      <c r="G190" s="80"/>
      <c r="H190" s="80"/>
      <c r="I190" s="80"/>
      <c r="J190" s="80"/>
      <c r="K190" s="80"/>
      <c r="L190" s="80"/>
    </row>
    <row r="191" spans="1:12" ht="15" customHeight="1">
      <c r="A191" s="87">
        <v>3232</v>
      </c>
      <c r="B191" s="79" t="s">
        <v>241</v>
      </c>
      <c r="C191" s="80">
        <f t="shared" ref="C191:C201" si="7">SUM(D191:L191)</f>
        <v>943346</v>
      </c>
      <c r="D191" s="80"/>
      <c r="E191" s="92">
        <v>943346</v>
      </c>
      <c r="F191" s="80"/>
      <c r="G191" s="80"/>
      <c r="H191" s="80"/>
      <c r="I191" s="80"/>
      <c r="J191" s="80"/>
      <c r="K191" s="80"/>
      <c r="L191" s="80"/>
    </row>
    <row r="192" spans="1:12">
      <c r="A192" s="87">
        <v>4123</v>
      </c>
      <c r="B192" s="79" t="s">
        <v>31</v>
      </c>
      <c r="C192" s="80">
        <f t="shared" si="7"/>
        <v>0</v>
      </c>
      <c r="D192" s="80"/>
      <c r="E192" s="92"/>
      <c r="F192" s="80"/>
      <c r="G192" s="80"/>
      <c r="H192" s="80"/>
      <c r="I192" s="80"/>
      <c r="J192" s="80"/>
      <c r="K192" s="80"/>
      <c r="L192" s="80"/>
    </row>
    <row r="193" spans="1:12">
      <c r="A193" s="87">
        <v>4221</v>
      </c>
      <c r="B193" s="79" t="s">
        <v>32</v>
      </c>
      <c r="C193" s="80">
        <f t="shared" si="7"/>
        <v>0</v>
      </c>
      <c r="D193" s="80"/>
      <c r="E193" s="92"/>
      <c r="F193" s="80"/>
      <c r="G193" s="80"/>
      <c r="H193" s="80"/>
      <c r="I193" s="80"/>
      <c r="J193" s="80"/>
      <c r="K193" s="80"/>
      <c r="L193" s="80"/>
    </row>
    <row r="194" spans="1:12">
      <c r="A194" s="87">
        <v>4222</v>
      </c>
      <c r="B194" s="79" t="s">
        <v>33</v>
      </c>
      <c r="C194" s="80">
        <f t="shared" si="7"/>
        <v>0</v>
      </c>
      <c r="D194" s="80"/>
      <c r="E194" s="92"/>
      <c r="F194" s="80"/>
      <c r="G194" s="80"/>
      <c r="H194" s="80"/>
      <c r="I194" s="80"/>
      <c r="J194" s="80"/>
      <c r="K194" s="80"/>
      <c r="L194" s="80"/>
    </row>
    <row r="195" spans="1:12">
      <c r="A195" s="87">
        <v>4223</v>
      </c>
      <c r="B195" s="79" t="s">
        <v>34</v>
      </c>
      <c r="C195" s="80">
        <f t="shared" si="7"/>
        <v>0</v>
      </c>
      <c r="D195" s="80"/>
      <c r="E195" s="92"/>
      <c r="F195" s="80"/>
      <c r="G195" s="80"/>
      <c r="H195" s="80"/>
      <c r="I195" s="80"/>
      <c r="J195" s="80"/>
      <c r="K195" s="80"/>
      <c r="L195" s="80"/>
    </row>
    <row r="196" spans="1:12">
      <c r="A196" s="87">
        <v>4224</v>
      </c>
      <c r="B196" s="79" t="s">
        <v>35</v>
      </c>
      <c r="C196" s="80">
        <f t="shared" si="7"/>
        <v>686654</v>
      </c>
      <c r="D196" s="80"/>
      <c r="E196" s="92">
        <f>654690+31964</f>
        <v>686654</v>
      </c>
      <c r="F196" s="80"/>
      <c r="G196" s="80"/>
      <c r="H196" s="80"/>
      <c r="I196" s="80"/>
      <c r="J196" s="80"/>
      <c r="K196" s="80"/>
      <c r="L196" s="80"/>
    </row>
    <row r="197" spans="1:12">
      <c r="A197" s="87">
        <v>4225</v>
      </c>
      <c r="B197" s="79" t="s">
        <v>36</v>
      </c>
      <c r="C197" s="80">
        <f t="shared" si="7"/>
        <v>0</v>
      </c>
      <c r="D197" s="80"/>
      <c r="E197" s="80"/>
      <c r="F197" s="80"/>
      <c r="G197" s="80"/>
      <c r="H197" s="80"/>
      <c r="I197" s="80"/>
      <c r="J197" s="80"/>
      <c r="K197" s="80"/>
      <c r="L197" s="80"/>
    </row>
    <row r="198" spans="1:12">
      <c r="A198" s="87">
        <v>4227</v>
      </c>
      <c r="B198" s="79" t="s">
        <v>37</v>
      </c>
      <c r="C198" s="80">
        <f t="shared" si="7"/>
        <v>0</v>
      </c>
      <c r="D198" s="80"/>
      <c r="E198" s="80"/>
      <c r="F198" s="80"/>
      <c r="G198" s="80"/>
      <c r="H198" s="80"/>
      <c r="I198" s="80"/>
      <c r="J198" s="80"/>
      <c r="K198" s="80"/>
      <c r="L198" s="80"/>
    </row>
    <row r="199" spans="1:12">
      <c r="A199" s="87">
        <v>4231</v>
      </c>
      <c r="B199" s="79" t="s">
        <v>38</v>
      </c>
      <c r="C199" s="80">
        <f t="shared" si="7"/>
        <v>0</v>
      </c>
      <c r="D199" s="80"/>
      <c r="E199" s="80"/>
      <c r="F199" s="80"/>
      <c r="G199" s="80"/>
      <c r="H199" s="80"/>
      <c r="I199" s="80"/>
      <c r="J199" s="80"/>
      <c r="K199" s="80"/>
      <c r="L199" s="80"/>
    </row>
    <row r="200" spans="1:12">
      <c r="A200" s="87">
        <v>4262</v>
      </c>
      <c r="B200" s="79" t="s">
        <v>242</v>
      </c>
      <c r="C200" s="80">
        <f t="shared" si="7"/>
        <v>0</v>
      </c>
      <c r="D200" s="80"/>
      <c r="E200" s="80"/>
      <c r="F200" s="80"/>
      <c r="G200" s="80"/>
      <c r="H200" s="80"/>
      <c r="I200" s="80"/>
      <c r="J200" s="80"/>
      <c r="K200" s="80"/>
      <c r="L200" s="80"/>
    </row>
    <row r="201" spans="1:12">
      <c r="A201" s="87">
        <v>4264</v>
      </c>
      <c r="B201" s="79" t="s">
        <v>243</v>
      </c>
      <c r="C201" s="80">
        <f t="shared" si="7"/>
        <v>0</v>
      </c>
      <c r="D201" s="80"/>
      <c r="E201" s="80"/>
      <c r="F201" s="80"/>
      <c r="G201" s="80"/>
      <c r="H201" s="80"/>
      <c r="I201" s="80"/>
      <c r="J201" s="80"/>
      <c r="K201" s="80"/>
      <c r="L201" s="80"/>
    </row>
    <row r="202" spans="1:12">
      <c r="A202" s="87">
        <v>4511</v>
      </c>
      <c r="B202" s="79" t="s">
        <v>244</v>
      </c>
      <c r="C202" s="80">
        <f>SUM(D202:L202)</f>
        <v>0</v>
      </c>
      <c r="D202" s="80"/>
      <c r="E202" s="80"/>
      <c r="F202" s="80"/>
      <c r="G202" s="80"/>
      <c r="H202" s="80"/>
      <c r="I202" s="80"/>
      <c r="J202" s="80"/>
      <c r="K202" s="80"/>
      <c r="L202" s="80"/>
    </row>
    <row r="203" spans="1:12" s="91" customFormat="1">
      <c r="A203" s="96" t="s">
        <v>239</v>
      </c>
      <c r="B203" s="97" t="s">
        <v>245</v>
      </c>
      <c r="C203" s="90">
        <f>SUM(C204:C215)</f>
        <v>6856036</v>
      </c>
      <c r="D203" s="98">
        <f>SUM(D204:D215)</f>
        <v>0</v>
      </c>
      <c r="E203" s="98">
        <f t="shared" ref="E203" si="8">SUM(E204:E215)</f>
        <v>0</v>
      </c>
      <c r="F203" s="98">
        <f>SUM(F204:F215)</f>
        <v>0</v>
      </c>
      <c r="G203" s="98">
        <f t="shared" ref="G203:L203" si="9">SUM(G205:G215)</f>
        <v>647570</v>
      </c>
      <c r="H203" s="90">
        <f t="shared" si="9"/>
        <v>0</v>
      </c>
      <c r="I203" s="90">
        <f t="shared" si="9"/>
        <v>0</v>
      </c>
      <c r="J203" s="90">
        <f t="shared" si="9"/>
        <v>0</v>
      </c>
      <c r="K203" s="90">
        <f t="shared" si="9"/>
        <v>5248750</v>
      </c>
      <c r="L203" s="98">
        <f t="shared" si="9"/>
        <v>959716</v>
      </c>
    </row>
    <row r="204" spans="1:12">
      <c r="A204" s="87">
        <v>3232</v>
      </c>
      <c r="B204" s="79" t="s">
        <v>241</v>
      </c>
      <c r="C204" s="80">
        <f>SUM(D204:L204)</f>
        <v>0</v>
      </c>
      <c r="D204" s="113"/>
      <c r="E204" s="80"/>
      <c r="F204" s="94"/>
      <c r="G204" s="92"/>
      <c r="H204" s="80"/>
      <c r="I204" s="80"/>
      <c r="J204" s="80"/>
      <c r="K204" s="80"/>
      <c r="L204" s="94"/>
    </row>
    <row r="205" spans="1:12">
      <c r="A205" s="87">
        <v>4123</v>
      </c>
      <c r="B205" s="66" t="s">
        <v>31</v>
      </c>
      <c r="C205" s="80">
        <f t="shared" ref="C205:C221" si="10">SUM(D205:L205)</f>
        <v>40000</v>
      </c>
      <c r="D205" s="80"/>
      <c r="E205" s="80"/>
      <c r="F205" s="94"/>
      <c r="G205" s="80">
        <v>40000</v>
      </c>
      <c r="H205" s="80"/>
      <c r="I205" s="80"/>
      <c r="J205" s="80"/>
      <c r="K205" s="80"/>
      <c r="L205" s="92"/>
    </row>
    <row r="206" spans="1:12">
      <c r="A206" s="87">
        <v>4221</v>
      </c>
      <c r="B206" s="79" t="s">
        <v>32</v>
      </c>
      <c r="C206" s="80">
        <f t="shared" si="10"/>
        <v>360000</v>
      </c>
      <c r="D206" s="80"/>
      <c r="E206" s="80"/>
      <c r="F206" s="92"/>
      <c r="G206" s="80">
        <f>360000-L206</f>
        <v>164000</v>
      </c>
      <c r="H206" s="80"/>
      <c r="I206" s="80"/>
      <c r="J206" s="80"/>
      <c r="K206" s="80"/>
      <c r="L206" s="321">
        <v>196000</v>
      </c>
    </row>
    <row r="207" spans="1:12">
      <c r="A207" s="87">
        <v>4222</v>
      </c>
      <c r="B207" s="79" t="s">
        <v>33</v>
      </c>
      <c r="C207" s="80">
        <f t="shared" si="10"/>
        <v>120000</v>
      </c>
      <c r="D207" s="80"/>
      <c r="E207" s="80"/>
      <c r="F207" s="92"/>
      <c r="G207" s="80">
        <f>120000-L207</f>
        <v>20000</v>
      </c>
      <c r="H207" s="80"/>
      <c r="I207" s="80"/>
      <c r="J207" s="80"/>
      <c r="K207" s="80"/>
      <c r="L207" s="321">
        <v>100000</v>
      </c>
    </row>
    <row r="208" spans="1:12">
      <c r="A208" s="87">
        <v>4223</v>
      </c>
      <c r="B208" s="79" t="s">
        <v>34</v>
      </c>
      <c r="C208" s="80">
        <f t="shared" si="10"/>
        <v>158750</v>
      </c>
      <c r="D208" s="80"/>
      <c r="E208" s="80"/>
      <c r="F208" s="92"/>
      <c r="G208" s="80"/>
      <c r="H208" s="80"/>
      <c r="I208" s="80"/>
      <c r="J208" s="80"/>
      <c r="K208" s="80"/>
      <c r="L208" s="321">
        <v>158750</v>
      </c>
    </row>
    <row r="209" spans="1:12">
      <c r="A209" s="87">
        <v>4224</v>
      </c>
      <c r="B209" s="79" t="s">
        <v>35</v>
      </c>
      <c r="C209" s="80">
        <f t="shared" si="10"/>
        <v>5864786</v>
      </c>
      <c r="D209" s="80"/>
      <c r="E209" s="80"/>
      <c r="F209" s="94"/>
      <c r="G209" s="80">
        <f>328909-31964</f>
        <v>296945</v>
      </c>
      <c r="H209" s="80"/>
      <c r="I209" s="80"/>
      <c r="J209" s="80"/>
      <c r="K209" s="80">
        <v>5248750</v>
      </c>
      <c r="L209" s="321">
        <v>319091</v>
      </c>
    </row>
    <row r="210" spans="1:12">
      <c r="A210" s="87">
        <v>4225</v>
      </c>
      <c r="B210" s="79" t="s">
        <v>36</v>
      </c>
      <c r="C210" s="80">
        <f t="shared" si="10"/>
        <v>0</v>
      </c>
      <c r="D210" s="80"/>
      <c r="E210" s="80"/>
      <c r="F210" s="92"/>
      <c r="G210" s="80"/>
      <c r="H210" s="80"/>
      <c r="I210" s="80"/>
      <c r="J210" s="80"/>
      <c r="K210" s="80"/>
      <c r="L210" s="321"/>
    </row>
    <row r="211" spans="1:12">
      <c r="A211" s="87">
        <v>4227</v>
      </c>
      <c r="B211" s="79" t="s">
        <v>37</v>
      </c>
      <c r="C211" s="80">
        <f t="shared" si="10"/>
        <v>85000</v>
      </c>
      <c r="D211" s="80"/>
      <c r="E211" s="80"/>
      <c r="F211" s="92"/>
      <c r="G211" s="80">
        <f>85000-L211</f>
        <v>26625</v>
      </c>
      <c r="H211" s="80"/>
      <c r="I211" s="80"/>
      <c r="J211" s="80"/>
      <c r="K211" s="80"/>
      <c r="L211" s="321">
        <v>58375</v>
      </c>
    </row>
    <row r="212" spans="1:12">
      <c r="A212" s="87">
        <v>4231</v>
      </c>
      <c r="B212" s="79" t="s">
        <v>38</v>
      </c>
      <c r="C212" s="80">
        <f t="shared" si="10"/>
        <v>0</v>
      </c>
      <c r="D212" s="80"/>
      <c r="E212" s="80"/>
      <c r="F212" s="92"/>
      <c r="G212" s="80"/>
      <c r="H212" s="80"/>
      <c r="I212" s="80"/>
      <c r="J212" s="80"/>
      <c r="K212" s="80"/>
      <c r="L212" s="321"/>
    </row>
    <row r="213" spans="1:12">
      <c r="A213" s="87">
        <v>4262</v>
      </c>
      <c r="B213" s="79" t="s">
        <v>242</v>
      </c>
      <c r="C213" s="80">
        <f t="shared" si="10"/>
        <v>227500</v>
      </c>
      <c r="D213" s="80"/>
      <c r="E213" s="80"/>
      <c r="F213" s="92"/>
      <c r="G213" s="92">
        <f>227500-L213-E200</f>
        <v>100000</v>
      </c>
      <c r="H213" s="80"/>
      <c r="I213" s="80"/>
      <c r="J213" s="80"/>
      <c r="K213" s="80"/>
      <c r="L213" s="321">
        <v>127500</v>
      </c>
    </row>
    <row r="214" spans="1:12">
      <c r="A214" s="87">
        <v>4264</v>
      </c>
      <c r="B214" s="79" t="s">
        <v>243</v>
      </c>
      <c r="C214" s="80">
        <f t="shared" si="10"/>
        <v>0</v>
      </c>
      <c r="D214" s="80"/>
      <c r="E214" s="80"/>
      <c r="F214" s="92"/>
      <c r="G214" s="80"/>
      <c r="H214" s="80"/>
      <c r="I214" s="80"/>
      <c r="J214" s="80"/>
      <c r="K214" s="80"/>
      <c r="L214" s="92"/>
    </row>
    <row r="215" spans="1:12">
      <c r="A215" s="87">
        <v>4511</v>
      </c>
      <c r="B215" s="79" t="s">
        <v>244</v>
      </c>
      <c r="C215" s="80">
        <f t="shared" si="10"/>
        <v>0</v>
      </c>
      <c r="D215" s="80"/>
      <c r="E215" s="80"/>
      <c r="F215" s="92"/>
      <c r="G215" s="80"/>
      <c r="H215" s="80"/>
      <c r="I215" s="80"/>
      <c r="J215" s="80"/>
      <c r="K215" s="80"/>
      <c r="L215" s="92"/>
    </row>
    <row r="216" spans="1:12" s="114" customFormat="1">
      <c r="A216" s="96">
        <v>54</v>
      </c>
      <c r="B216" s="97" t="s">
        <v>246</v>
      </c>
      <c r="C216" s="90">
        <f>C217</f>
        <v>800000</v>
      </c>
      <c r="D216" s="90">
        <f>SUM(D217)</f>
        <v>0</v>
      </c>
      <c r="E216" s="90">
        <f t="shared" ref="E216:K216" si="11">SUM(E217)</f>
        <v>0</v>
      </c>
      <c r="F216" s="98">
        <f t="shared" si="11"/>
        <v>800000</v>
      </c>
      <c r="G216" s="90">
        <f t="shared" si="11"/>
        <v>0</v>
      </c>
      <c r="H216" s="90">
        <f t="shared" si="11"/>
        <v>0</v>
      </c>
      <c r="I216" s="90">
        <f t="shared" si="11"/>
        <v>0</v>
      </c>
      <c r="J216" s="90">
        <f t="shared" si="11"/>
        <v>0</v>
      </c>
      <c r="K216" s="90">
        <f t="shared" si="11"/>
        <v>0</v>
      </c>
      <c r="L216" s="90">
        <f>SUM(L217)</f>
        <v>0</v>
      </c>
    </row>
    <row r="217" spans="1:12" ht="25.5">
      <c r="A217" s="87">
        <v>5443</v>
      </c>
      <c r="B217" s="79" t="s">
        <v>247</v>
      </c>
      <c r="C217" s="80">
        <f t="shared" si="10"/>
        <v>800000</v>
      </c>
      <c r="D217" s="80"/>
      <c r="E217" s="80"/>
      <c r="F217" s="115">
        <v>800000</v>
      </c>
      <c r="G217" s="80"/>
      <c r="H217" s="80"/>
      <c r="I217" s="80"/>
      <c r="J217" s="80"/>
      <c r="K217" s="80"/>
      <c r="L217" s="80"/>
    </row>
    <row r="218" spans="1:12" ht="12" customHeight="1">
      <c r="A218" s="116" t="s">
        <v>239</v>
      </c>
      <c r="B218" s="117" t="s">
        <v>248</v>
      </c>
      <c r="C218" s="100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1:12" s="119" customFormat="1">
      <c r="A219" s="87">
        <v>4231</v>
      </c>
      <c r="B219" s="79" t="s">
        <v>39</v>
      </c>
      <c r="C219" s="80">
        <f t="shared" si="10"/>
        <v>0</v>
      </c>
      <c r="D219" s="80"/>
      <c r="E219" s="80"/>
      <c r="F219" s="80"/>
      <c r="G219" s="80"/>
      <c r="H219" s="80"/>
      <c r="I219" s="80"/>
      <c r="J219" s="80"/>
      <c r="K219" s="80"/>
      <c r="L219" s="80"/>
    </row>
    <row r="220" spans="1:12" s="120" customFormat="1" ht="25.5">
      <c r="A220" s="101" t="s">
        <v>239</v>
      </c>
      <c r="B220" s="102" t="s">
        <v>249</v>
      </c>
      <c r="C220" s="103">
        <f>SUM(C221)</f>
        <v>0</v>
      </c>
      <c r="D220" s="103">
        <f>SUM(D221)</f>
        <v>0</v>
      </c>
      <c r="E220" s="103">
        <f>SUM(E221)</f>
        <v>0</v>
      </c>
      <c r="F220" s="103">
        <f>SUM(F221)</f>
        <v>0</v>
      </c>
      <c r="G220" s="103">
        <f t="shared" ref="G220:L220" si="12">SUM(G221)</f>
        <v>0</v>
      </c>
      <c r="H220" s="103">
        <f t="shared" si="12"/>
        <v>0</v>
      </c>
      <c r="I220" s="103">
        <f t="shared" si="12"/>
        <v>0</v>
      </c>
      <c r="J220" s="103">
        <f t="shared" si="12"/>
        <v>0</v>
      </c>
      <c r="K220" s="103">
        <f t="shared" si="12"/>
        <v>0</v>
      </c>
      <c r="L220" s="103">
        <f t="shared" si="12"/>
        <v>0</v>
      </c>
    </row>
    <row r="221" spans="1:12" s="119" customFormat="1">
      <c r="A221" s="87">
        <v>4511</v>
      </c>
      <c r="B221" s="79" t="s">
        <v>250</v>
      </c>
      <c r="C221" s="80">
        <f t="shared" si="10"/>
        <v>0</v>
      </c>
      <c r="D221" s="80"/>
      <c r="E221" s="80"/>
      <c r="F221" s="80"/>
      <c r="G221" s="80"/>
      <c r="H221" s="80"/>
      <c r="I221" s="80"/>
      <c r="J221" s="80"/>
      <c r="K221" s="80"/>
      <c r="L221" s="80"/>
    </row>
    <row r="222" spans="1:12"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</row>
    <row r="223" spans="1:12"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</row>
    <row r="224" spans="1:12" ht="13.5" thickBot="1">
      <c r="A224" s="71"/>
      <c r="B224" s="124" t="s">
        <v>251</v>
      </c>
      <c r="C224" s="324">
        <f t="shared" ref="C224:L224" si="13">C7+C40+C77+C85+C90+C94+C99+C104+C115+C121+C127+C132+C136+C142+C184+C189+C203+C216+C218+C220</f>
        <v>71708482.700000003</v>
      </c>
      <c r="D224" s="324">
        <f t="shared" si="13"/>
        <v>0</v>
      </c>
      <c r="E224" s="324">
        <f t="shared" si="13"/>
        <v>1630000</v>
      </c>
      <c r="F224" s="324">
        <f t="shared" si="13"/>
        <v>9760000</v>
      </c>
      <c r="G224" s="324">
        <f>G7+G40+G77+G85+G90+G94+G99+G104+G115+G121+G127+G132+G136+G142+G184+G189+G203+G216+G218+G220</f>
        <v>51200000</v>
      </c>
      <c r="H224" s="324">
        <f t="shared" si="13"/>
        <v>0</v>
      </c>
      <c r="I224" s="324">
        <f t="shared" si="13"/>
        <v>500000</v>
      </c>
      <c r="J224" s="324">
        <f t="shared" si="13"/>
        <v>300000</v>
      </c>
      <c r="K224" s="324">
        <f t="shared" si="13"/>
        <v>5248750</v>
      </c>
      <c r="L224" s="324">
        <f t="shared" si="13"/>
        <v>3069732.6999999997</v>
      </c>
    </row>
    <row r="225" spans="1:12" ht="13.5" thickBot="1">
      <c r="A225" s="125"/>
      <c r="B225" s="126" t="s">
        <v>252</v>
      </c>
      <c r="C225" s="324">
        <f>SUM(D225:L225)</f>
        <v>71708482.700000003</v>
      </c>
      <c r="D225" s="322"/>
      <c r="E225" s="322">
        <v>1630000</v>
      </c>
      <c r="F225" s="323">
        <v>9760000</v>
      </c>
      <c r="G225" s="322">
        <v>51200000</v>
      </c>
      <c r="H225" s="322"/>
      <c r="I225" s="322">
        <v>500000</v>
      </c>
      <c r="J225" s="322">
        <v>300000</v>
      </c>
      <c r="K225" s="322">
        <v>5248750</v>
      </c>
      <c r="L225" s="322">
        <v>3069732.7</v>
      </c>
    </row>
    <row r="226" spans="1:12">
      <c r="A226" s="125"/>
      <c r="B226" s="126" t="s">
        <v>161</v>
      </c>
      <c r="C226" s="323">
        <f>C224-C225</f>
        <v>0</v>
      </c>
      <c r="D226" s="322"/>
      <c r="E226" s="322">
        <f>E224-E225</f>
        <v>0</v>
      </c>
      <c r="F226" s="322">
        <f>F224-F225</f>
        <v>0</v>
      </c>
      <c r="G226" s="323">
        <f>G224-G225</f>
        <v>0</v>
      </c>
      <c r="H226" s="323">
        <f t="shared" ref="H226:L226" si="14">H224-H225</f>
        <v>0</v>
      </c>
      <c r="I226" s="323">
        <f t="shared" si="14"/>
        <v>0</v>
      </c>
      <c r="J226" s="323">
        <f t="shared" si="14"/>
        <v>0</v>
      </c>
      <c r="K226" s="323">
        <f t="shared" si="14"/>
        <v>0</v>
      </c>
      <c r="L226" s="323">
        <f t="shared" si="14"/>
        <v>0</v>
      </c>
    </row>
    <row r="227" spans="1:12">
      <c r="A227" s="125"/>
      <c r="B227" s="126"/>
      <c r="C227" s="323"/>
      <c r="D227" s="322"/>
      <c r="E227" s="323"/>
      <c r="F227" s="323"/>
      <c r="G227" s="322">
        <f>SUM(F226:G226)</f>
        <v>0</v>
      </c>
      <c r="H227" s="322"/>
      <c r="I227" s="322"/>
      <c r="J227" s="322"/>
      <c r="K227" s="322"/>
      <c r="L227" s="322"/>
    </row>
    <row r="228" spans="1:12">
      <c r="A228" s="125"/>
      <c r="B228" s="79" t="s">
        <v>253</v>
      </c>
      <c r="C228" s="325" t="s">
        <v>252</v>
      </c>
      <c r="D228" s="326">
        <v>90</v>
      </c>
      <c r="E228" s="326">
        <v>30</v>
      </c>
      <c r="F228" s="326">
        <v>20</v>
      </c>
      <c r="G228" s="326">
        <v>10</v>
      </c>
      <c r="H228" s="326">
        <v>40</v>
      </c>
      <c r="I228" s="326">
        <v>50</v>
      </c>
      <c r="J228" s="326">
        <v>60</v>
      </c>
      <c r="K228" s="326">
        <v>70</v>
      </c>
      <c r="L228" s="326">
        <v>80</v>
      </c>
    </row>
    <row r="229" spans="1:12">
      <c r="A229" s="125"/>
      <c r="B229" s="79">
        <v>100</v>
      </c>
      <c r="C229" s="325">
        <f>SUM(D229:L229)</f>
        <v>53462446.700000003</v>
      </c>
      <c r="D229" s="325">
        <f t="shared" ref="D229:L229" si="15">D40+D77+D85+D90+D94+D99+D104</f>
        <v>0</v>
      </c>
      <c r="E229" s="325">
        <f t="shared" si="15"/>
        <v>0</v>
      </c>
      <c r="F229" s="325">
        <f t="shared" si="15"/>
        <v>0</v>
      </c>
      <c r="G229" s="325">
        <f t="shared" si="15"/>
        <v>50552430</v>
      </c>
      <c r="H229" s="325">
        <f t="shared" si="15"/>
        <v>0</v>
      </c>
      <c r="I229" s="325">
        <f t="shared" si="15"/>
        <v>500000</v>
      </c>
      <c r="J229" s="325">
        <f t="shared" si="15"/>
        <v>300000</v>
      </c>
      <c r="K229" s="325">
        <f t="shared" si="15"/>
        <v>0</v>
      </c>
      <c r="L229" s="325">
        <f t="shared" si="15"/>
        <v>2110016.6999999997</v>
      </c>
    </row>
    <row r="230" spans="1:12">
      <c r="A230" s="125"/>
      <c r="B230" s="79">
        <v>200</v>
      </c>
      <c r="C230" s="325">
        <f t="shared" ref="C230:C232" si="16">SUM(D230:L230)</f>
        <v>8960000</v>
      </c>
      <c r="D230" s="325">
        <f>D142</f>
        <v>0</v>
      </c>
      <c r="E230" s="325">
        <f t="shared" ref="E230:L230" si="17">E142</f>
        <v>0</v>
      </c>
      <c r="F230" s="325">
        <f t="shared" si="17"/>
        <v>8960000</v>
      </c>
      <c r="G230" s="325">
        <f t="shared" si="17"/>
        <v>0</v>
      </c>
      <c r="H230" s="325">
        <f t="shared" si="17"/>
        <v>0</v>
      </c>
      <c r="I230" s="325">
        <f t="shared" si="17"/>
        <v>0</v>
      </c>
      <c r="J230" s="325">
        <f t="shared" si="17"/>
        <v>0</v>
      </c>
      <c r="K230" s="325">
        <f t="shared" si="17"/>
        <v>0</v>
      </c>
      <c r="L230" s="325">
        <f t="shared" si="17"/>
        <v>0</v>
      </c>
    </row>
    <row r="231" spans="1:12">
      <c r="A231" s="125"/>
      <c r="B231" s="79">
        <v>300</v>
      </c>
      <c r="C231" s="325">
        <f t="shared" si="16"/>
        <v>9286036</v>
      </c>
      <c r="D231" s="325">
        <f>D189+D203+D216+D218</f>
        <v>0</v>
      </c>
      <c r="E231" s="325">
        <f t="shared" ref="E231:L231" si="18">E189+E203+E216+E218</f>
        <v>1630000</v>
      </c>
      <c r="F231" s="325">
        <f t="shared" si="18"/>
        <v>800000</v>
      </c>
      <c r="G231" s="325">
        <f t="shared" si="18"/>
        <v>647570</v>
      </c>
      <c r="H231" s="325">
        <f t="shared" si="18"/>
        <v>0</v>
      </c>
      <c r="I231" s="325">
        <f t="shared" si="18"/>
        <v>0</v>
      </c>
      <c r="J231" s="325">
        <f t="shared" si="18"/>
        <v>0</v>
      </c>
      <c r="K231" s="325">
        <f t="shared" si="18"/>
        <v>5248750</v>
      </c>
      <c r="L231" s="325">
        <f t="shared" si="18"/>
        <v>959716</v>
      </c>
    </row>
    <row r="232" spans="1:12">
      <c r="A232" s="125"/>
      <c r="B232" s="79" t="s">
        <v>40</v>
      </c>
      <c r="C232" s="325">
        <f t="shared" si="16"/>
        <v>71708482.700000003</v>
      </c>
      <c r="D232" s="325">
        <f>SUM(D229:D231)</f>
        <v>0</v>
      </c>
      <c r="E232" s="325">
        <f t="shared" ref="E232:L232" si="19">SUM(E229:E231)</f>
        <v>1630000</v>
      </c>
      <c r="F232" s="325">
        <f t="shared" si="19"/>
        <v>9760000</v>
      </c>
      <c r="G232" s="325">
        <f t="shared" si="19"/>
        <v>51200000</v>
      </c>
      <c r="H232" s="325">
        <f t="shared" si="19"/>
        <v>0</v>
      </c>
      <c r="I232" s="325">
        <f t="shared" si="19"/>
        <v>500000</v>
      </c>
      <c r="J232" s="325">
        <f t="shared" si="19"/>
        <v>300000</v>
      </c>
      <c r="K232" s="325">
        <f t="shared" si="19"/>
        <v>5248750</v>
      </c>
      <c r="L232" s="325">
        <f t="shared" si="19"/>
        <v>3069732.6999999997</v>
      </c>
    </row>
    <row r="233" spans="1:12">
      <c r="A233" s="125"/>
      <c r="B233" s="126"/>
      <c r="C233" s="322"/>
      <c r="D233" s="322"/>
      <c r="E233" s="322"/>
      <c r="F233" s="322"/>
      <c r="G233" s="322"/>
      <c r="H233" s="322"/>
      <c r="I233" s="322"/>
      <c r="J233" s="322"/>
      <c r="K233" s="322"/>
      <c r="L233" s="322"/>
    </row>
    <row r="234" spans="1:12">
      <c r="A234" s="125"/>
      <c r="B234" s="126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</row>
    <row r="235" spans="1:12">
      <c r="A235" s="125"/>
      <c r="B235" s="126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</row>
    <row r="236" spans="1:12" ht="15.75">
      <c r="A236" s="125"/>
      <c r="B236" s="126"/>
      <c r="C236" s="127"/>
      <c r="D236" s="127"/>
      <c r="E236" s="127"/>
      <c r="F236" s="127"/>
      <c r="G236" s="127"/>
      <c r="H236" s="127"/>
      <c r="I236" s="127"/>
      <c r="J236" s="133" t="s">
        <v>255</v>
      </c>
      <c r="K236" s="133"/>
      <c r="L236" s="133"/>
    </row>
    <row r="237" spans="1:12" ht="15.75">
      <c r="A237" s="125"/>
      <c r="B237" s="126"/>
      <c r="C237" s="127"/>
      <c r="D237" s="127"/>
      <c r="E237" s="127"/>
      <c r="F237" s="127"/>
      <c r="G237" s="127"/>
      <c r="H237" s="127"/>
      <c r="I237" s="127"/>
      <c r="J237" s="133" t="s">
        <v>256</v>
      </c>
      <c r="K237" s="133"/>
      <c r="L237" s="133"/>
    </row>
    <row r="238" spans="1:12">
      <c r="A238" s="125"/>
      <c r="B238" s="126"/>
      <c r="C238" s="127"/>
      <c r="D238" s="127"/>
      <c r="E238" s="127"/>
      <c r="F238" s="127"/>
      <c r="G238" s="127"/>
      <c r="H238" s="127"/>
      <c r="I238" s="127"/>
      <c r="J238" s="131"/>
      <c r="K238" s="131"/>
      <c r="L238" s="131"/>
    </row>
    <row r="239" spans="1:12">
      <c r="A239" s="125"/>
      <c r="B239" s="126"/>
      <c r="C239" s="127"/>
      <c r="D239" s="127"/>
      <c r="E239" s="127"/>
      <c r="F239" s="127"/>
      <c r="G239" s="127"/>
      <c r="H239" s="127"/>
      <c r="I239" s="127"/>
      <c r="J239" s="132"/>
      <c r="K239" s="132"/>
      <c r="L239" s="131"/>
    </row>
    <row r="240" spans="1:12">
      <c r="A240" s="125"/>
      <c r="B240" s="126"/>
      <c r="C240" s="127"/>
      <c r="D240" s="127"/>
      <c r="E240" s="127"/>
      <c r="F240" s="127"/>
      <c r="G240" s="127"/>
      <c r="H240" s="127"/>
      <c r="I240" s="127"/>
      <c r="J240" s="131"/>
      <c r="K240" s="131"/>
      <c r="L240" s="131"/>
    </row>
    <row r="241" spans="1:12">
      <c r="A241" s="125"/>
      <c r="B241" s="126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</row>
    <row r="242" spans="1:12">
      <c r="A242" s="125"/>
      <c r="B242" s="126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</row>
    <row r="243" spans="1:12">
      <c r="A243" s="125"/>
      <c r="B243" s="126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</row>
    <row r="244" spans="1:12">
      <c r="A244" s="125"/>
      <c r="B244" s="126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</row>
    <row r="245" spans="1:12">
      <c r="A245" s="125"/>
      <c r="B245" s="126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</row>
    <row r="246" spans="1:12">
      <c r="A246" s="125"/>
      <c r="B246" s="126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</row>
    <row r="247" spans="1:12">
      <c r="A247" s="125"/>
      <c r="B247" s="126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</row>
    <row r="248" spans="1:12">
      <c r="A248" s="125"/>
      <c r="B248" s="126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</row>
    <row r="249" spans="1:12">
      <c r="A249" s="125"/>
      <c r="B249" s="126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</row>
    <row r="250" spans="1:12">
      <c r="A250" s="125"/>
      <c r="B250" s="126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</row>
    <row r="251" spans="1:12">
      <c r="A251" s="125"/>
      <c r="B251" s="126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</row>
    <row r="252" spans="1:12">
      <c r="A252" s="125"/>
      <c r="B252" s="126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</row>
    <row r="253" spans="1:12">
      <c r="A253" s="125"/>
      <c r="B253" s="126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</row>
    <row r="254" spans="1:12">
      <c r="A254" s="125"/>
      <c r="B254" s="126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</row>
    <row r="255" spans="1:12">
      <c r="A255" s="125"/>
      <c r="B255" s="126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</row>
    <row r="256" spans="1:12">
      <c r="A256" s="125"/>
      <c r="B256" s="126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</row>
    <row r="257" spans="1:12">
      <c r="A257" s="125"/>
      <c r="B257" s="126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</row>
    <row r="258" spans="1:12">
      <c r="A258" s="125"/>
      <c r="B258" s="126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</row>
    <row r="259" spans="1:12">
      <c r="A259" s="125"/>
      <c r="B259" s="126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</row>
    <row r="260" spans="1:12">
      <c r="A260" s="125"/>
      <c r="B260" s="126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</row>
    <row r="261" spans="1:12">
      <c r="A261" s="125"/>
      <c r="B261" s="126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</row>
    <row r="262" spans="1:12">
      <c r="A262" s="125"/>
      <c r="B262" s="126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</row>
    <row r="263" spans="1:12">
      <c r="A263" s="125"/>
      <c r="B263" s="126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</row>
    <row r="264" spans="1:12">
      <c r="A264" s="125"/>
      <c r="B264" s="126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</row>
    <row r="265" spans="1:12">
      <c r="A265" s="125"/>
      <c r="B265" s="126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</row>
    <row r="266" spans="1:12">
      <c r="A266" s="125"/>
      <c r="B266" s="126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</row>
    <row r="267" spans="1:12">
      <c r="A267" s="125"/>
      <c r="B267" s="126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</row>
    <row r="268" spans="1:12">
      <c r="A268" s="125"/>
      <c r="B268" s="126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</row>
    <row r="269" spans="1:12">
      <c r="A269" s="125"/>
      <c r="B269" s="126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</row>
    <row r="270" spans="1:12">
      <c r="A270" s="125"/>
      <c r="B270" s="126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</row>
    <row r="271" spans="1:12">
      <c r="A271" s="125"/>
      <c r="B271" s="126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</row>
    <row r="272" spans="1:12">
      <c r="A272" s="125"/>
      <c r="B272" s="126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</row>
    <row r="273" spans="1:12">
      <c r="A273" s="125"/>
      <c r="B273" s="126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</row>
    <row r="274" spans="1:12">
      <c r="A274" s="125"/>
      <c r="B274" s="126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</row>
    <row r="275" spans="1:12">
      <c r="A275" s="125"/>
      <c r="B275" s="126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</row>
    <row r="276" spans="1:12">
      <c r="A276" s="125"/>
      <c r="B276" s="126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</row>
    <row r="277" spans="1:12">
      <c r="A277" s="125"/>
      <c r="B277" s="126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</row>
    <row r="278" spans="1:12">
      <c r="A278" s="125"/>
      <c r="B278" s="126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</row>
    <row r="279" spans="1:12">
      <c r="A279" s="125"/>
      <c r="B279" s="126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</row>
    <row r="280" spans="1:12">
      <c r="A280" s="125"/>
      <c r="B280" s="126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</row>
    <row r="281" spans="1:12">
      <c r="A281" s="125"/>
      <c r="B281" s="126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</row>
    <row r="282" spans="1:12">
      <c r="A282" s="125"/>
      <c r="B282" s="126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</row>
    <row r="283" spans="1:12">
      <c r="A283" s="125"/>
      <c r="B283" s="126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</row>
    <row r="284" spans="1:12">
      <c r="A284" s="125"/>
      <c r="B284" s="126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</row>
    <row r="285" spans="1:12">
      <c r="A285" s="125"/>
      <c r="B285" s="126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</row>
    <row r="286" spans="1:12">
      <c r="A286" s="125"/>
      <c r="B286" s="126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</row>
    <row r="287" spans="1:12">
      <c r="A287" s="125"/>
      <c r="B287" s="126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</row>
    <row r="288" spans="1:12">
      <c r="A288" s="125"/>
      <c r="B288" s="126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</row>
    <row r="289" spans="1:12">
      <c r="A289" s="125"/>
      <c r="B289" s="126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</row>
    <row r="290" spans="1:12">
      <c r="A290" s="125"/>
      <c r="B290" s="126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</row>
    <row r="291" spans="1:12">
      <c r="A291" s="125"/>
      <c r="B291" s="126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</row>
    <row r="292" spans="1:12">
      <c r="A292" s="125"/>
      <c r="B292" s="126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</row>
    <row r="293" spans="1:12">
      <c r="A293" s="125"/>
      <c r="B293" s="126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</row>
    <row r="294" spans="1:12">
      <c r="A294" s="125"/>
      <c r="B294" s="126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</row>
    <row r="295" spans="1:12">
      <c r="A295" s="125"/>
      <c r="B295" s="126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</row>
    <row r="296" spans="1:12">
      <c r="A296" s="125"/>
      <c r="B296" s="126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</row>
    <row r="297" spans="1:12">
      <c r="A297" s="125"/>
      <c r="B297" s="126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</row>
    <row r="298" spans="1:12">
      <c r="A298" s="125"/>
      <c r="B298" s="126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</row>
    <row r="299" spans="1:12">
      <c r="A299" s="125"/>
      <c r="B299" s="126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</row>
    <row r="300" spans="1:12">
      <c r="A300" s="125"/>
      <c r="B300" s="126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</row>
    <row r="301" spans="1:12">
      <c r="A301" s="125"/>
      <c r="B301" s="126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</row>
    <row r="302" spans="1:12">
      <c r="A302" s="125"/>
      <c r="B302" s="126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</row>
    <row r="303" spans="1:12">
      <c r="A303" s="125"/>
      <c r="B303" s="126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</row>
    <row r="304" spans="1:12">
      <c r="A304" s="125"/>
      <c r="B304" s="126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</row>
    <row r="305" spans="1:12">
      <c r="A305" s="125"/>
      <c r="B305" s="126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</row>
    <row r="306" spans="1:12">
      <c r="A306" s="125"/>
      <c r="B306" s="126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</row>
    <row r="307" spans="1:12">
      <c r="A307" s="125"/>
      <c r="B307" s="126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</row>
    <row r="308" spans="1:12">
      <c r="A308" s="125"/>
      <c r="B308" s="126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</row>
    <row r="309" spans="1:12">
      <c r="A309" s="125"/>
      <c r="B309" s="126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</row>
    <row r="310" spans="1:12">
      <c r="A310" s="125"/>
      <c r="B310" s="126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</row>
    <row r="311" spans="1:12">
      <c r="A311" s="125"/>
      <c r="B311" s="126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</row>
    <row r="312" spans="1:12">
      <c r="A312" s="125"/>
      <c r="B312" s="126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</row>
    <row r="313" spans="1:12">
      <c r="A313" s="125"/>
      <c r="B313" s="126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</row>
    <row r="314" spans="1:12">
      <c r="A314" s="125"/>
      <c r="B314" s="126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</row>
    <row r="315" spans="1:12">
      <c r="A315" s="125"/>
      <c r="B315" s="126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</row>
    <row r="316" spans="1:12">
      <c r="A316" s="125"/>
      <c r="B316" s="126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</row>
    <row r="317" spans="1:12">
      <c r="A317" s="125"/>
      <c r="B317" s="126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</row>
    <row r="318" spans="1:12">
      <c r="A318" s="125"/>
      <c r="B318" s="126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</row>
    <row r="319" spans="1:12">
      <c r="A319" s="125"/>
      <c r="B319" s="126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</row>
    <row r="320" spans="1:12">
      <c r="A320" s="125"/>
      <c r="B320" s="126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</row>
    <row r="321" spans="1:12">
      <c r="A321" s="125"/>
      <c r="B321" s="126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</row>
    <row r="322" spans="1:12">
      <c r="A322" s="125"/>
      <c r="B322" s="126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</row>
    <row r="323" spans="1:12">
      <c r="A323" s="125"/>
      <c r="B323" s="126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</row>
    <row r="324" spans="1:12">
      <c r="A324" s="125"/>
      <c r="B324" s="126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</row>
    <row r="325" spans="1:12">
      <c r="A325" s="125"/>
      <c r="B325" s="126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</row>
    <row r="326" spans="1:12">
      <c r="A326" s="125"/>
      <c r="B326" s="126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</row>
    <row r="327" spans="1:12">
      <c r="A327" s="125"/>
      <c r="B327" s="12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>
      <c r="A328" s="125"/>
      <c r="B328" s="12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>
      <c r="A329" s="125"/>
      <c r="B329" s="12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>
      <c r="A330" s="125"/>
      <c r="B330" s="12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>
      <c r="A331" s="125"/>
      <c r="B331" s="12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>
      <c r="A332" s="125"/>
      <c r="B332" s="12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>
      <c r="A333" s="125"/>
      <c r="B333" s="12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>
      <c r="A334" s="125"/>
      <c r="B334" s="12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>
      <c r="A335" s="125"/>
      <c r="B335" s="12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>
      <c r="A336" s="125"/>
      <c r="B336" s="12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>
      <c r="A337" s="125"/>
      <c r="B337" s="12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>
      <c r="A338" s="125"/>
      <c r="B338" s="12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>
      <c r="A339" s="125"/>
      <c r="B339" s="12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>
      <c r="A340" s="125"/>
      <c r="B340" s="12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>
      <c r="A341" s="125"/>
      <c r="B341" s="12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>
      <c r="A342" s="125"/>
      <c r="B342" s="12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>
      <c r="A343" s="125"/>
      <c r="B343" s="12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>
      <c r="A344" s="125"/>
      <c r="B344" s="12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>
      <c r="A345" s="125"/>
      <c r="B345" s="12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>
      <c r="A346" s="125"/>
      <c r="B346" s="12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>
      <c r="A347" s="125"/>
      <c r="B347" s="12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>
      <c r="A348" s="125"/>
      <c r="B348" s="12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>
      <c r="A349" s="125"/>
      <c r="B349" s="12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>
      <c r="A350" s="125"/>
      <c r="B350" s="12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>
      <c r="A351" s="125"/>
      <c r="B351" s="12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>
      <c r="A352" s="125"/>
      <c r="B352" s="12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>
      <c r="A353" s="125"/>
      <c r="B353" s="12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>
      <c r="A354" s="125"/>
      <c r="B354" s="12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>
      <c r="A355" s="125"/>
      <c r="B355" s="12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>
      <c r="A356" s="125"/>
      <c r="B356" s="12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>
      <c r="A357" s="125"/>
      <c r="B357" s="12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>
      <c r="A358" s="125"/>
      <c r="B358" s="12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>
      <c r="A359" s="125"/>
      <c r="B359" s="12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>
      <c r="A360" s="125"/>
      <c r="B360" s="12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>
      <c r="A361" s="125"/>
      <c r="B361" s="12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>
      <c r="A362" s="125"/>
      <c r="B362" s="12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>
      <c r="A363" s="125"/>
      <c r="B363" s="12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>
      <c r="A364" s="125"/>
      <c r="B364" s="12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>
      <c r="A365" s="125"/>
      <c r="B365" s="12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>
      <c r="A366" s="125"/>
      <c r="B366" s="12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>
      <c r="A367" s="125"/>
      <c r="B367" s="12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>
      <c r="A368" s="125"/>
      <c r="B368" s="12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>
      <c r="A369" s="125"/>
      <c r="B369" s="12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>
      <c r="A370" s="125"/>
      <c r="B370" s="12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>
      <c r="A371" s="125"/>
      <c r="B371" s="12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>
      <c r="A372" s="125"/>
      <c r="B372" s="12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>
      <c r="A373" s="125"/>
      <c r="B373" s="12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>
      <c r="A374" s="125"/>
      <c r="B374" s="12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>
      <c r="A375" s="125"/>
      <c r="B375" s="12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>
      <c r="A376" s="125"/>
      <c r="B376" s="12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>
      <c r="A377" s="125"/>
      <c r="B377" s="12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>
      <c r="A378" s="125"/>
      <c r="B378" s="12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>
      <c r="A379" s="125"/>
      <c r="B379" s="12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>
      <c r="A380" s="125"/>
      <c r="B380" s="12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>
      <c r="A381" s="125"/>
      <c r="B381" s="12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>
      <c r="A382" s="125"/>
      <c r="B382" s="12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>
      <c r="A383" s="125"/>
      <c r="B383" s="12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>
      <c r="A384" s="125"/>
      <c r="B384" s="12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>
      <c r="A385" s="125"/>
      <c r="B385" s="12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>
      <c r="A386" s="125"/>
      <c r="B386" s="12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>
      <c r="A387" s="125"/>
      <c r="B387" s="12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>
      <c r="A388" s="125"/>
      <c r="B388" s="12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>
      <c r="A389" s="125"/>
      <c r="B389" s="12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>
      <c r="A390" s="125"/>
      <c r="B390" s="12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>
      <c r="A391" s="125"/>
      <c r="B391" s="12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>
      <c r="A392" s="125"/>
      <c r="B392" s="12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>
      <c r="A393" s="125"/>
      <c r="B393" s="12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>
      <c r="A394" s="125"/>
      <c r="B394" s="12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>
      <c r="A395" s="125"/>
      <c r="B395" s="12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>
      <c r="A396" s="125"/>
      <c r="B396" s="12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>
      <c r="A397" s="125"/>
      <c r="B397" s="12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>
      <c r="A398" s="125"/>
      <c r="B398" s="12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>
      <c r="A399" s="125"/>
      <c r="B399" s="12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>
      <c r="A400" s="125"/>
      <c r="B400" s="12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>
      <c r="A401" s="125"/>
      <c r="B401" s="12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>
      <c r="A402" s="125"/>
      <c r="B402" s="12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>
      <c r="A403" s="125"/>
      <c r="B403" s="12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>
      <c r="A404" s="125"/>
      <c r="B404" s="12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>
      <c r="A405" s="125"/>
      <c r="B405" s="12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>
      <c r="A406" s="125"/>
      <c r="B406" s="12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>
      <c r="A407" s="125"/>
      <c r="B407" s="12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>
      <c r="A408" s="125"/>
      <c r="B408" s="12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>
      <c r="A409" s="125"/>
      <c r="B409" s="12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>
      <c r="A410" s="125"/>
      <c r="B410" s="12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>
      <c r="A411" s="125"/>
      <c r="B411" s="12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>
      <c r="A412" s="125"/>
      <c r="B412" s="12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>
      <c r="A413" s="125"/>
      <c r="B413" s="12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>
      <c r="A414" s="125"/>
      <c r="B414" s="12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>
      <c r="A415" s="125"/>
      <c r="B415" s="12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>
      <c r="A416" s="125"/>
      <c r="B416" s="12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>
      <c r="A417" s="125"/>
      <c r="B417" s="12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>
      <c r="A418" s="125"/>
      <c r="B418" s="12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>
      <c r="A419" s="125"/>
      <c r="B419" s="12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>
      <c r="A420" s="125"/>
      <c r="B420" s="12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>
      <c r="A421" s="125"/>
      <c r="B421" s="12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>
      <c r="A422" s="125"/>
      <c r="B422" s="12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>
      <c r="A423" s="125"/>
      <c r="B423" s="12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>
      <c r="A424" s="125"/>
      <c r="B424" s="12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>
      <c r="A425" s="125"/>
      <c r="B425" s="12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>
      <c r="A426" s="125"/>
      <c r="B426" s="12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>
      <c r="A427" s="125"/>
      <c r="B427" s="12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</sheetData>
  <mergeCells count="2">
    <mergeCell ref="A1:L1"/>
    <mergeCell ref="D2:E2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  <headerFooter>
    <oddFooter>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31"/>
  <sheetViews>
    <sheetView workbookViewId="0">
      <selection activeCell="F18" sqref="F18"/>
    </sheetView>
  </sheetViews>
  <sheetFormatPr defaultColWidth="11.42578125" defaultRowHeight="12.75"/>
  <cols>
    <col min="1" max="1" width="18" style="15" customWidth="1"/>
    <col min="2" max="2" width="13.42578125" style="15" customWidth="1"/>
    <col min="3" max="3" width="1.28515625" style="15" customWidth="1"/>
    <col min="4" max="5" width="9.140625" style="15" bestFit="1" customWidth="1"/>
    <col min="6" max="6" width="10.28515625" style="16" bestFit="1" customWidth="1"/>
    <col min="7" max="7" width="9" style="1" bestFit="1" customWidth="1"/>
    <col min="8" max="8" width="9.5703125" style="1" bestFit="1" customWidth="1"/>
    <col min="9" max="9" width="14.42578125" style="1" bestFit="1" customWidth="1"/>
    <col min="10" max="11" width="10.42578125" style="1" customWidth="1"/>
    <col min="12" max="12" width="11.28515625" style="1" bestFit="1" customWidth="1"/>
    <col min="13" max="13" width="11.5703125" style="1" customWidth="1"/>
    <col min="14" max="14" width="10.7109375" style="1" customWidth="1"/>
    <col min="15" max="15" width="7.42578125" style="1" customWidth="1"/>
    <col min="16" max="16384" width="11.42578125" style="1"/>
  </cols>
  <sheetData>
    <row r="1" spans="1:15" ht="30" customHeight="1" thickBot="1">
      <c r="A1" s="15" t="s">
        <v>262</v>
      </c>
    </row>
    <row r="2" spans="1:15" ht="28.5" customHeight="1" thickBot="1">
      <c r="A2" s="335" t="s">
        <v>261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7"/>
    </row>
    <row r="3" spans="1:15" ht="13.5" thickBot="1">
      <c r="A3" s="2"/>
      <c r="B3" s="2"/>
      <c r="C3" s="2"/>
      <c r="D3" s="3"/>
      <c r="E3" s="3"/>
      <c r="F3" s="3"/>
      <c r="G3" s="3"/>
      <c r="H3" s="3"/>
      <c r="I3" s="3"/>
      <c r="J3" s="3"/>
      <c r="L3" s="4" t="s">
        <v>41</v>
      </c>
      <c r="N3" s="3"/>
      <c r="O3" s="3"/>
    </row>
    <row r="4" spans="1:15" ht="26.25" thickBot="1">
      <c r="A4" s="5" t="s">
        <v>42</v>
      </c>
      <c r="B4" s="341" t="s">
        <v>257</v>
      </c>
      <c r="C4" s="146"/>
      <c r="D4" s="343" t="s">
        <v>258</v>
      </c>
      <c r="E4" s="344"/>
      <c r="F4" s="344"/>
      <c r="G4" s="344"/>
      <c r="H4" s="344"/>
      <c r="I4" s="344"/>
      <c r="J4" s="344"/>
      <c r="K4" s="344"/>
      <c r="L4" s="345"/>
    </row>
    <row r="5" spans="1:15" ht="96" customHeight="1" thickBot="1">
      <c r="A5" s="6" t="s">
        <v>43</v>
      </c>
      <c r="B5" s="342"/>
      <c r="C5" s="150"/>
      <c r="D5" s="330" t="s">
        <v>45</v>
      </c>
      <c r="E5" s="331" t="s">
        <v>46</v>
      </c>
      <c r="F5" s="331" t="s">
        <v>47</v>
      </c>
      <c r="G5" s="331" t="s">
        <v>48</v>
      </c>
      <c r="H5" s="331" t="s">
        <v>49</v>
      </c>
      <c r="I5" s="331" t="s">
        <v>50</v>
      </c>
      <c r="J5" s="332" t="s">
        <v>51</v>
      </c>
      <c r="K5" s="333" t="s">
        <v>52</v>
      </c>
      <c r="L5" s="329" t="s">
        <v>259</v>
      </c>
      <c r="M5" s="334" t="s">
        <v>260</v>
      </c>
    </row>
    <row r="6" spans="1:15">
      <c r="A6" s="7" t="s">
        <v>149</v>
      </c>
      <c r="B6" s="136">
        <v>10000</v>
      </c>
      <c r="C6" s="147"/>
      <c r="D6" s="140"/>
      <c r="E6" s="8">
        <v>10000</v>
      </c>
      <c r="F6" s="9"/>
      <c r="G6" s="10"/>
      <c r="H6" s="10"/>
      <c r="I6" s="10"/>
      <c r="J6" s="10"/>
      <c r="K6" s="141"/>
      <c r="L6" s="151">
        <f>SUM(D6:K6)</f>
        <v>10000</v>
      </c>
      <c r="M6" s="156">
        <f>L6/B6*100</f>
        <v>100</v>
      </c>
    </row>
    <row r="7" spans="1:15">
      <c r="A7" s="11" t="s">
        <v>150</v>
      </c>
      <c r="B7" s="137">
        <v>10000000</v>
      </c>
      <c r="C7" s="147"/>
      <c r="D7" s="142"/>
      <c r="E7" s="12"/>
      <c r="F7" s="12">
        <v>8500000</v>
      </c>
      <c r="G7" s="12"/>
      <c r="H7" s="12"/>
      <c r="I7" s="12"/>
      <c r="J7" s="12"/>
      <c r="K7" s="143"/>
      <c r="L7" s="151">
        <f t="shared" ref="L7:L15" si="0">SUM(D7:K7)</f>
        <v>8500000</v>
      </c>
      <c r="M7" s="155">
        <f>L7/B7*100</f>
        <v>85</v>
      </c>
    </row>
    <row r="8" spans="1:15">
      <c r="A8" s="11" t="s">
        <v>151</v>
      </c>
      <c r="B8" s="137">
        <v>300000</v>
      </c>
      <c r="C8" s="147"/>
      <c r="D8" s="142"/>
      <c r="E8" s="12"/>
      <c r="F8" s="12"/>
      <c r="G8" s="12"/>
      <c r="H8" s="12"/>
      <c r="I8" s="12">
        <v>300000</v>
      </c>
      <c r="J8" s="12"/>
      <c r="K8" s="143"/>
      <c r="L8" s="151">
        <f t="shared" si="0"/>
        <v>300000</v>
      </c>
      <c r="M8" s="155">
        <f t="shared" ref="M8:M14" si="1">L8/B8*100</f>
        <v>100</v>
      </c>
    </row>
    <row r="9" spans="1:15">
      <c r="A9" s="11" t="s">
        <v>152</v>
      </c>
      <c r="B9" s="137">
        <v>15800000</v>
      </c>
      <c r="C9" s="147"/>
      <c r="D9" s="142"/>
      <c r="E9" s="12">
        <v>9550000</v>
      </c>
      <c r="F9" s="12"/>
      <c r="G9" s="12"/>
      <c r="H9" s="12"/>
      <c r="I9" s="12"/>
      <c r="J9" s="12"/>
      <c r="K9" s="143"/>
      <c r="L9" s="151">
        <f t="shared" si="0"/>
        <v>9550000</v>
      </c>
      <c r="M9" s="155">
        <f t="shared" si="1"/>
        <v>60.443037974683541</v>
      </c>
    </row>
    <row r="10" spans="1:15">
      <c r="A10" s="11" t="s">
        <v>153</v>
      </c>
      <c r="B10" s="137">
        <v>500000</v>
      </c>
      <c r="C10" s="147"/>
      <c r="D10" s="142"/>
      <c r="E10" s="12"/>
      <c r="F10" s="12"/>
      <c r="G10" s="12"/>
      <c r="H10" s="12">
        <v>500000</v>
      </c>
      <c r="I10" s="12"/>
      <c r="J10" s="12"/>
      <c r="K10" s="143"/>
      <c r="L10" s="151">
        <f t="shared" si="0"/>
        <v>500000</v>
      </c>
      <c r="M10" s="155">
        <f t="shared" si="1"/>
        <v>100</v>
      </c>
    </row>
    <row r="11" spans="1:15" ht="25.5">
      <c r="A11" s="11" t="s">
        <v>154</v>
      </c>
      <c r="B11" s="137">
        <v>1130000</v>
      </c>
      <c r="C11" s="147"/>
      <c r="D11" s="142">
        <f>1130000+500000</f>
        <v>1630000</v>
      </c>
      <c r="E11" s="12"/>
      <c r="F11" s="12"/>
      <c r="G11" s="12"/>
      <c r="H11" s="12"/>
      <c r="I11" s="12"/>
      <c r="J11" s="12"/>
      <c r="K11" s="143"/>
      <c r="L11" s="151">
        <f t="shared" si="0"/>
        <v>1630000</v>
      </c>
      <c r="M11" s="155">
        <f t="shared" si="1"/>
        <v>144.24778761061947</v>
      </c>
    </row>
    <row r="12" spans="1:15">
      <c r="A12" s="11" t="s">
        <v>155</v>
      </c>
      <c r="B12" s="137">
        <v>45500000</v>
      </c>
      <c r="C12" s="147"/>
      <c r="D12" s="142"/>
      <c r="E12" s="12"/>
      <c r="F12" s="12">
        <v>42700000</v>
      </c>
      <c r="G12" s="12"/>
      <c r="H12" s="12"/>
      <c r="I12" s="12"/>
      <c r="J12" s="12"/>
      <c r="K12" s="143"/>
      <c r="L12" s="151">
        <f t="shared" si="0"/>
        <v>42700000</v>
      </c>
      <c r="M12" s="155">
        <f t="shared" si="1"/>
        <v>93.84615384615384</v>
      </c>
    </row>
    <row r="13" spans="1:15">
      <c r="A13" s="11" t="s">
        <v>156</v>
      </c>
      <c r="B13" s="137">
        <v>50000</v>
      </c>
      <c r="C13" s="147"/>
      <c r="D13" s="142"/>
      <c r="E13" s="12">
        <v>200000</v>
      </c>
      <c r="F13" s="12"/>
      <c r="G13" s="12"/>
      <c r="H13" s="12"/>
      <c r="I13" s="12"/>
      <c r="J13" s="12"/>
      <c r="K13" s="143"/>
      <c r="L13" s="151">
        <f t="shared" si="0"/>
        <v>200000</v>
      </c>
      <c r="M13" s="155">
        <f t="shared" si="1"/>
        <v>400</v>
      </c>
    </row>
    <row r="14" spans="1:15">
      <c r="A14" s="11" t="s">
        <v>157</v>
      </c>
      <c r="B14" s="137">
        <v>5300000</v>
      </c>
      <c r="C14" s="147"/>
      <c r="D14" s="144"/>
      <c r="E14" s="42"/>
      <c r="F14" s="42"/>
      <c r="G14" s="42"/>
      <c r="H14" s="42"/>
      <c r="I14" s="42"/>
      <c r="J14" s="139">
        <v>5248750</v>
      </c>
      <c r="K14" s="145"/>
      <c r="L14" s="152">
        <f t="shared" si="0"/>
        <v>5248750</v>
      </c>
      <c r="M14" s="155">
        <f t="shared" si="1"/>
        <v>99.033018867924525</v>
      </c>
    </row>
    <row r="15" spans="1:15" ht="26.25" thickBot="1">
      <c r="A15" s="160" t="s">
        <v>158</v>
      </c>
      <c r="B15" s="138"/>
      <c r="C15" s="148"/>
      <c r="D15" s="144"/>
      <c r="E15" s="42"/>
      <c r="F15" s="42"/>
      <c r="G15" s="42"/>
      <c r="H15" s="42"/>
      <c r="I15" s="42"/>
      <c r="J15" s="42"/>
      <c r="K15" s="145">
        <v>3069733</v>
      </c>
      <c r="L15" s="153">
        <f t="shared" si="0"/>
        <v>3069733</v>
      </c>
      <c r="M15" s="157"/>
    </row>
    <row r="16" spans="1:15" ht="26.25" thickBot="1">
      <c r="A16" s="134" t="s">
        <v>44</v>
      </c>
      <c r="B16" s="135">
        <f>SUM(B6:B15)</f>
        <v>78590000</v>
      </c>
      <c r="C16" s="149"/>
      <c r="D16" s="43">
        <f t="shared" ref="D16:J16" si="2">SUM(D6:D15)</f>
        <v>1630000</v>
      </c>
      <c r="E16" s="43">
        <f t="shared" si="2"/>
        <v>9760000</v>
      </c>
      <c r="F16" s="43">
        <f t="shared" si="2"/>
        <v>51200000</v>
      </c>
      <c r="G16" s="43">
        <f t="shared" si="2"/>
        <v>0</v>
      </c>
      <c r="H16" s="43">
        <f t="shared" si="2"/>
        <v>500000</v>
      </c>
      <c r="I16" s="43">
        <f t="shared" si="2"/>
        <v>300000</v>
      </c>
      <c r="J16" s="43">
        <f t="shared" si="2"/>
        <v>5248750</v>
      </c>
      <c r="K16" s="43">
        <f>SUM(K6:K15)</f>
        <v>3069733</v>
      </c>
      <c r="L16" s="154">
        <f>SUM(L6:L15)</f>
        <v>71708483</v>
      </c>
      <c r="M16" s="158">
        <f>L16/B16*100</f>
        <v>91.243775289477043</v>
      </c>
    </row>
    <row r="17" spans="1:15" ht="16.899999999999999" customHeight="1">
      <c r="A17" s="13"/>
      <c r="B17" s="13"/>
      <c r="C17" s="13"/>
      <c r="D17" s="13"/>
      <c r="E17" s="13"/>
      <c r="F17" s="14"/>
      <c r="I17" s="44"/>
      <c r="J17" s="4"/>
      <c r="M17" s="32"/>
      <c r="N17" s="32"/>
      <c r="O17" s="33"/>
    </row>
    <row r="19" spans="1:15" ht="15.75">
      <c r="J19" s="133" t="s">
        <v>255</v>
      </c>
      <c r="K19" s="133"/>
      <c r="L19" s="133"/>
    </row>
    <row r="20" spans="1:15" ht="15.75">
      <c r="J20" s="133" t="s">
        <v>256</v>
      </c>
      <c r="K20" s="133"/>
      <c r="L20" s="133"/>
    </row>
    <row r="21" spans="1:15">
      <c r="J21" s="131"/>
      <c r="K21" s="131"/>
      <c r="L21" s="131"/>
    </row>
    <row r="22" spans="1:15">
      <c r="J22" s="132"/>
      <c r="K22" s="132"/>
      <c r="L22" s="132"/>
      <c r="M22" s="159"/>
    </row>
    <row r="26" spans="1:15">
      <c r="D26" s="16"/>
      <c r="E26" s="1"/>
      <c r="F26" s="1"/>
    </row>
    <row r="27" spans="1:15">
      <c r="D27" s="16"/>
      <c r="E27" s="1"/>
      <c r="F27" s="1"/>
    </row>
    <row r="28" spans="1:15">
      <c r="D28" s="16"/>
      <c r="E28" s="1"/>
      <c r="F28" s="1"/>
    </row>
    <row r="29" spans="1:15">
      <c r="D29" s="16"/>
      <c r="E29" s="1"/>
      <c r="F29" s="1"/>
    </row>
    <row r="30" spans="1:15">
      <c r="D30" s="16"/>
      <c r="E30" s="1"/>
      <c r="F30" s="1"/>
    </row>
    <row r="31" spans="1:15">
      <c r="D31" s="16"/>
      <c r="E31" s="1"/>
      <c r="F31" s="1"/>
    </row>
  </sheetData>
  <mergeCells count="3">
    <mergeCell ref="B4:B5"/>
    <mergeCell ref="D4:L4"/>
    <mergeCell ref="A2:M2"/>
  </mergeCells>
  <printOptions horizontalCentered="1"/>
  <pageMargins left="3.937007874015748E-2" right="0.23622047244094491" top="0.15748031496062992" bottom="0.15748031496062992" header="0.31496062992125984" footer="0.31496062992125984"/>
  <pageSetup paperSize="9" scale="95" firstPageNumber="2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REBALANS 1 RASHODI</vt:lpstr>
      <vt:lpstr>REBALANS 1 RASHODI PLAHTA </vt:lpstr>
      <vt:lpstr>REBALANS 1 PRIHODI</vt:lpstr>
      <vt:lpstr>'REBALANS 1 RASHODI'!Ispis_naslova</vt:lpstr>
      <vt:lpstr>'REBALANS 1 RASHODI PLAHTA '!Ispis_naslova</vt:lpstr>
      <vt:lpstr>'REBALANS 1 RASHODI PLAHTA 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2020-06-18T10:16:04Z</dcterms:modified>
</cp:coreProperties>
</file>